
<file path=[Content_Types].xml><?xml version="1.0" encoding="utf-8"?>
<Types xmlns="http://schemas.openxmlformats.org/package/2006/content-types">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customXml/itemProps1.xml" ContentType="application/vnd.openxmlformats-officedocument.customXmlProperties+xml"/>
  <Override PartName="/xl/worksheets/sheet7.xml" ContentType="application/vnd.openxmlformats-officedocument.spreadsheetml.worksheet+xml"/>
  <Override PartName="/xl/worksheets/sheet11.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charts/chart49.xml" ContentType="application/vnd.openxmlformats-officedocument.drawingml.chart+xml"/>
  <Override PartName="/xl/charts/chart58.xml" ContentType="application/vnd.openxmlformats-officedocument.drawingml.chart+xml"/>
  <Override PartName="/xl/worksheets/sheet3.xml" ContentType="application/vnd.openxmlformats-officedocument.spreadsheetml.worksheet+xml"/>
  <Override PartName="/xl/comments2.xml" ContentType="application/vnd.openxmlformats-officedocument.spreadsheetml.comments+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charts/chart38.xml" ContentType="application/vnd.openxmlformats-officedocument.drawingml.chart+xml"/>
  <Override PartName="/xl/charts/chart47.xml" ContentType="application/vnd.openxmlformats-officedocument.drawingml.chart+xml"/>
  <Override PartName="/xl/charts/chart56.xml" ContentType="application/vnd.openxmlformats-officedocument.drawingml.chart+xml"/>
  <Override PartName="/xl/charts/chart65.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charts/chart16.xml" ContentType="application/vnd.openxmlformats-officedocument.drawingml.chart+xml"/>
  <Override PartName="/xl/charts/chart25.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54.xml" ContentType="application/vnd.openxmlformats-officedocument.drawingml.chart+xml"/>
  <Override PartName="/xl/drawings/drawing11.xml" ContentType="application/vnd.openxmlformats-officedocument.drawing+xml"/>
  <Override PartName="/xl/charts/chart63.xml" ContentType="application/vnd.openxmlformats-officedocument.drawingml.chart+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charts/chart52.xml" ContentType="application/vnd.openxmlformats-officedocument.drawingml.chart+xml"/>
  <Override PartName="/xl/charts/chart61.xml" ContentType="application/vnd.openxmlformats-officedocument.drawingml.chart+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charts/chart50.xml" ContentType="application/vnd.openxmlformats-officedocument.drawingml.chart+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customXml/itemProps2.xml" ContentType="application/vnd.openxmlformats-officedocument.customXmlProperties+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Default Extension="jpeg" ContentType="image/jpeg"/>
  <Override PartName="/xl/charts/chart3.xml" ContentType="application/vnd.openxmlformats-officedocument.drawingml.chart+xml"/>
  <Override PartName="/xl/drawings/drawing5.xml" ContentType="application/vnd.openxmlformats-officedocument.drawing+xml"/>
  <Override PartName="/xl/charts/chart59.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xl/charts/chart57.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harts/chart19.xml" ContentType="application/vnd.openxmlformats-officedocument.drawingml.chart+xml"/>
  <Override PartName="/xl/comments3.xml" ContentType="application/vnd.openxmlformats-officedocument.spreadsheetml.comments+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Override PartName="/xl/charts/chart55.xml" ContentType="application/vnd.openxmlformats-officedocument.drawingml.chart+xml"/>
  <Override PartName="/xl/charts/chart66.xml" ContentType="application/vnd.openxmlformats-officedocument.drawingml.chart+xml"/>
  <Default Extension="vml" ContentType="application/vnd.openxmlformats-officedocument.vmlDrawing"/>
  <Override PartName="/xl/comments1.xml" ContentType="application/vnd.openxmlformats-officedocument.spreadsheetml.comments+xml"/>
  <Override PartName="/xl/charts/chart17.xml" ContentType="application/vnd.openxmlformats-officedocument.drawingml.chart+xml"/>
  <Override PartName="/xl/charts/chart26.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53.xml" ContentType="application/vnd.openxmlformats-officedocument.drawingml.chart+xml"/>
  <Override PartName="/xl/charts/chart64.xml" ContentType="application/vnd.openxmlformats-officedocument.drawingml.chart+xml"/>
  <Override PartName="/xl/calcChain.xml" ContentType="application/vnd.openxmlformats-officedocument.spreadsheetml.calcChain+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drawings/drawing10.xml" ContentType="application/vnd.openxmlformats-officedocument.drawing+xml"/>
  <Override PartName="/xl/charts/chart51.xml" ContentType="application/vnd.openxmlformats-officedocument.drawingml.chart+xml"/>
  <Override PartName="/xl/charts/chart62.xml" ContentType="application/vnd.openxmlformats-officedocument.drawingml.char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defaultThemeVersion="124226"/>
  <bookViews>
    <workbookView xWindow="-15" yWindow="885" windowWidth="8955" windowHeight="6930" tabRatio="605"/>
  </bookViews>
  <sheets>
    <sheet name="INTRO" sheetId="19" r:id="rId1"/>
    <sheet name="ACT" sheetId="10" r:id="rId2"/>
    <sheet name="NSW" sheetId="12" r:id="rId3"/>
    <sheet name="NT" sheetId="13" r:id="rId4"/>
    <sheet name="Qld" sheetId="8" r:id="rId5"/>
    <sheet name="SA" sheetId="7" r:id="rId6"/>
    <sheet name="Tas" sheetId="11" r:id="rId7"/>
    <sheet name="Vic" sheetId="1" r:id="rId8"/>
    <sheet name="WA" sheetId="9" r:id="rId9"/>
    <sheet name="Australia" sheetId="14" r:id="rId10"/>
    <sheet name="Australian context" sheetId="17" r:id="rId11"/>
  </sheets>
  <externalReferences>
    <externalReference r:id="rId12"/>
    <externalReference r:id="rId13"/>
  </externalReferences>
  <definedNames>
    <definedName name="_Toc341873739" localSheetId="9">Australia!$AO$2</definedName>
    <definedName name="_Toc341873740" localSheetId="9">Australia!$AO$13</definedName>
    <definedName name="_Toc341873741" localSheetId="9">Australia!$AO$20</definedName>
    <definedName name="A2336247F">[1]Economic!#REF!,[1]Economic!#REF!</definedName>
    <definedName name="A2336247F_Data">[1]Economic!#REF!</definedName>
    <definedName name="A2336247F_Latest">[1]Economic!#REF!</definedName>
    <definedName name="A2336248J">[1]Economic!#REF!,[1]Economic!#REF!</definedName>
    <definedName name="A2336248J_Data">[1]Economic!#REF!</definedName>
    <definedName name="A2336248J_Latest">[1]Economic!#REF!</definedName>
    <definedName name="A2336249K">[1]Economic!#REF!,[1]Economic!#REF!</definedName>
    <definedName name="A2336249K_Data">[1]Economic!#REF!</definedName>
    <definedName name="A2336249K_Latest">[1]Economic!#REF!</definedName>
    <definedName name="A2336250V">[1]Economic!#REF!,[1]Economic!#REF!</definedName>
    <definedName name="A2336250V_Data">[1]Economic!#REF!</definedName>
    <definedName name="A2336250V_Latest">[1]Economic!#REF!</definedName>
    <definedName name="A2336251W">[1]Economic!#REF!,[1]Economic!#REF!</definedName>
    <definedName name="A2336251W_Data">[1]Economic!#REF!</definedName>
    <definedName name="A2336251W_Latest">[1]Economic!#REF!</definedName>
    <definedName name="A2336252X">[1]Economic!#REF!,[1]Economic!#REF!</definedName>
    <definedName name="A2336252X_Data">[1]Economic!#REF!</definedName>
    <definedName name="A2336252X_Latest">[1]Economic!#REF!</definedName>
    <definedName name="A2336253A">[1]Economic!#REF!,[1]Economic!#REF!</definedName>
    <definedName name="A2336253A_Data">[1]Economic!#REF!</definedName>
    <definedName name="A2336253A_Latest">[1]Economic!#REF!</definedName>
    <definedName name="A2336254C">[1]Economic!#REF!,[1]Economic!#REF!</definedName>
    <definedName name="A2336254C_Data">[1]Economic!#REF!</definedName>
    <definedName name="A2336254C_Latest">[1]Economic!#REF!</definedName>
    <definedName name="A2336255F">[1]Economic!#REF!,[1]Economic!#REF!</definedName>
    <definedName name="A2336255F_Data">[1]Economic!#REF!</definedName>
    <definedName name="A2336255F_Latest">[1]Economic!#REF!</definedName>
    <definedName name="A2336256J">[1]Economic!#REF!,[1]Economic!#REF!</definedName>
    <definedName name="A2336256J_Data">[1]Economic!#REF!</definedName>
    <definedName name="A2336256J_Latest">[1]Economic!#REF!</definedName>
    <definedName name="A2336257K">[1]Economic!#REF!,[1]Economic!#REF!</definedName>
    <definedName name="A2336257K_Data">[1]Economic!#REF!</definedName>
    <definedName name="A2336257K_Latest">[1]Economic!#REF!</definedName>
    <definedName name="A2336258L">[1]Economic!#REF!,[1]Economic!#REF!</definedName>
    <definedName name="A2336258L_Data">[1]Economic!#REF!</definedName>
    <definedName name="A2336258L_Latest">[1]Economic!#REF!</definedName>
    <definedName name="A2336259R">[1]Economic!#REF!,[1]Economic!#REF!</definedName>
    <definedName name="A2336259R_Data">[1]Economic!#REF!</definedName>
    <definedName name="A2336259R_Latest">[1]Economic!#REF!</definedName>
    <definedName name="A2336260X">[1]Economic!#REF!,[1]Economic!#REF!</definedName>
    <definedName name="A2336260X_Data">[1]Economic!#REF!</definedName>
    <definedName name="A2336260X_Latest">[1]Economic!#REF!</definedName>
    <definedName name="A2336261A">[1]Economic!#REF!,[1]Economic!#REF!</definedName>
    <definedName name="A2336261A_Data">[1]Economic!#REF!</definedName>
    <definedName name="A2336261A_Latest">[1]Economic!#REF!</definedName>
    <definedName name="A2336262C">[1]Economic!#REF!,[1]Economic!#REF!</definedName>
    <definedName name="A2336262C_Data">[1]Economic!#REF!</definedName>
    <definedName name="A2336262C_Latest">[1]Economic!#REF!</definedName>
    <definedName name="A2336263F">[1]Economic!#REF!,[1]Economic!#REF!</definedName>
    <definedName name="A2336263F_Data">[1]Economic!#REF!</definedName>
    <definedName name="A2336263F_Latest">[1]Economic!#REF!</definedName>
    <definedName name="A2336264J">[1]Economic!#REF!,[1]Economic!#REF!</definedName>
    <definedName name="A2336264J_Data">[1]Economic!#REF!</definedName>
    <definedName name="A2336264J_Latest">[1]Economic!#REF!</definedName>
    <definedName name="A2336265K">[1]Economic!#REF!,[1]Economic!#REF!</definedName>
    <definedName name="A2336265K_Data">[1]Economic!#REF!</definedName>
    <definedName name="A2336265K_Latest">[1]Economic!#REF!</definedName>
    <definedName name="A2336266L">[1]Economic!#REF!,[1]Economic!#REF!</definedName>
    <definedName name="A2336266L_Data">[1]Economic!#REF!</definedName>
    <definedName name="A2336266L_Latest">[1]Economic!#REF!</definedName>
    <definedName name="A2336267R">[1]Economic!#REF!,[1]Economic!#REF!</definedName>
    <definedName name="A2336267R_Data">[1]Economic!#REF!</definedName>
    <definedName name="A2336267R_Latest">[1]Economic!#REF!</definedName>
    <definedName name="A2336268T">[1]Economic!#REF!,[1]Economic!#REF!</definedName>
    <definedName name="A2336268T_Data">[1]Economic!#REF!</definedName>
    <definedName name="A2336268T_Latest">[1]Economic!#REF!</definedName>
    <definedName name="A2336269V">[1]Economic!#REF!,[1]Economic!#REF!</definedName>
    <definedName name="A2336269V_Data">[1]Economic!#REF!</definedName>
    <definedName name="A2336269V_Latest">[1]Economic!#REF!</definedName>
    <definedName name="A2336270C">[1]Economic!#REF!,[1]Economic!#REF!</definedName>
    <definedName name="A2336270C_Data">[1]Economic!#REF!</definedName>
    <definedName name="A2336270C_Latest">[1]Economic!#REF!</definedName>
    <definedName name="A2336271F">[1]Economic!#REF!,[1]Economic!#REF!</definedName>
    <definedName name="A2336271F_Data">[1]Economic!#REF!</definedName>
    <definedName name="A2336271F_Latest">[1]Economic!#REF!</definedName>
    <definedName name="A2336272J">[1]Economic!#REF!,[1]Economic!#REF!</definedName>
    <definedName name="A2336272J_Data">[1]Economic!#REF!</definedName>
    <definedName name="A2336272J_Latest">[1]Economic!#REF!</definedName>
    <definedName name="A2336273K">[1]Economic!#REF!,[1]Economic!#REF!</definedName>
    <definedName name="A2336273K_Data">[1]Economic!#REF!</definedName>
    <definedName name="A2336273K_Latest">[1]Economic!#REF!</definedName>
    <definedName name="A2336274L">[1]Economic!#REF!,[1]Economic!#REF!</definedName>
    <definedName name="A2336274L_Data">[1]Economic!#REF!</definedName>
    <definedName name="A2336274L_Latest">[1]Economic!#REF!</definedName>
    <definedName name="A2336297C">[1]Economic!#REF!,[1]Economic!#REF!</definedName>
    <definedName name="A2336297C_Data">[1]Economic!#REF!</definedName>
    <definedName name="A2336297C_Latest">[1]Economic!#REF!</definedName>
    <definedName name="A2336298F">[1]Economic!#REF!,[1]Economic!#REF!</definedName>
    <definedName name="A2336298F_Data">[1]Economic!#REF!</definedName>
    <definedName name="A2336298F_Latest">[1]Economic!#REF!</definedName>
    <definedName name="A2336299J">[1]Economic!#REF!,[1]Economic!#REF!</definedName>
    <definedName name="A2336299J_Data">[1]Economic!#REF!</definedName>
    <definedName name="A2336299J_Latest">[1]Economic!#REF!</definedName>
    <definedName name="A2336300F">[1]Economic!#REF!,[1]Economic!#REF!</definedName>
    <definedName name="A2336300F_Data">[1]Economic!#REF!</definedName>
    <definedName name="A2336300F_Latest">[1]Economic!#REF!</definedName>
    <definedName name="A2336301J">[1]Economic!#REF!,[1]Economic!#REF!</definedName>
    <definedName name="A2336301J_Data">[1]Economic!#REF!</definedName>
    <definedName name="A2336301J_Latest">[1]Economic!#REF!</definedName>
    <definedName name="A2336302K">[1]Economic!#REF!,[1]Economic!#REF!</definedName>
    <definedName name="A2336302K_Data">[1]Economic!#REF!</definedName>
    <definedName name="A2336302K_Latest">[1]Economic!#REF!</definedName>
    <definedName name="A2336303L">[1]Economic!#REF!,[1]Economic!#REF!</definedName>
    <definedName name="A2336303L_Data">[1]Economic!#REF!</definedName>
    <definedName name="A2336303L_Latest">[1]Economic!#REF!</definedName>
    <definedName name="A2336304R">[1]Economic!#REF!,[1]Economic!#REF!</definedName>
    <definedName name="A2336304R_Data">[1]Economic!#REF!</definedName>
    <definedName name="A2336304R_Latest">[1]Economic!#REF!</definedName>
    <definedName name="A2336305T">[1]Economic!#REF!,[1]Economic!#REF!</definedName>
    <definedName name="A2336305T_Data">[1]Economic!#REF!</definedName>
    <definedName name="A2336305T_Latest">[1]Economic!#REF!</definedName>
    <definedName name="A2336306V">[1]Economic!#REF!,[1]Economic!#REF!</definedName>
    <definedName name="A2336306V_Data">[1]Economic!#REF!</definedName>
    <definedName name="A2336306V_Latest">[1]Economic!#REF!</definedName>
    <definedName name="A2336307W">[1]Economic!#REF!,[1]Economic!#REF!</definedName>
    <definedName name="A2336307W_Data">[1]Economic!#REF!</definedName>
    <definedName name="A2336307W_Latest">[1]Economic!#REF!</definedName>
    <definedName name="A2336308X">[1]Economic!#REF!,[1]Economic!#REF!</definedName>
    <definedName name="A2336308X_Data">[1]Economic!#REF!</definedName>
    <definedName name="A2336308X_Latest">[1]Economic!#REF!</definedName>
    <definedName name="A2336309A">[1]Economic!#REF!,[1]Economic!#REF!</definedName>
    <definedName name="A2336309A_Data">[1]Economic!#REF!</definedName>
    <definedName name="A2336309A_Latest">[1]Economic!#REF!</definedName>
    <definedName name="A2336310K">[1]Economic!#REF!,[1]Economic!#REF!</definedName>
    <definedName name="A2336310K_Data">[1]Economic!#REF!</definedName>
    <definedName name="A2336310K_Latest">[1]Economic!#REF!</definedName>
    <definedName name="A2336311L">[1]Economic!#REF!,[1]Economic!#REF!</definedName>
    <definedName name="A2336311L_Data">[1]Economic!#REF!</definedName>
    <definedName name="A2336311L_Latest">[1]Economic!#REF!</definedName>
    <definedName name="A2336312R">[1]Economic!#REF!,[1]Economic!#REF!</definedName>
    <definedName name="A2336312R_Data">[1]Economic!#REF!</definedName>
    <definedName name="A2336312R_Latest">[1]Economic!#REF!</definedName>
    <definedName name="A2336313T">[1]Economic!#REF!,[1]Economic!#REF!</definedName>
    <definedName name="A2336313T_Data">[1]Economic!#REF!</definedName>
    <definedName name="A2336313T_Latest">[1]Economic!#REF!</definedName>
    <definedName name="A2336314V">[1]Economic!#REF!,[1]Economic!#REF!</definedName>
    <definedName name="A2336314V_Data">[1]Economic!#REF!</definedName>
    <definedName name="A2336314V_Latest">[1]Economic!#REF!</definedName>
    <definedName name="A2336315W">[1]Economic!#REF!,[1]Economic!#REF!</definedName>
    <definedName name="A2336315W_Data">[1]Economic!#REF!</definedName>
    <definedName name="A2336315W_Latest">[1]Economic!#REF!</definedName>
    <definedName name="A2336316X">[1]Economic!#REF!,[1]Economic!#REF!</definedName>
    <definedName name="A2336316X_Data">[1]Economic!#REF!</definedName>
    <definedName name="A2336316X_Latest">[1]Economic!#REF!</definedName>
    <definedName name="A2336317A">[1]Economic!#REF!,[1]Economic!#REF!</definedName>
    <definedName name="A2336317A_Data">[1]Economic!#REF!</definedName>
    <definedName name="A2336317A_Latest">[1]Economic!#REF!</definedName>
    <definedName name="A2336318C">[1]Economic!#REF!,[1]Economic!#REF!</definedName>
    <definedName name="A2336318C_Data">[1]Economic!#REF!</definedName>
    <definedName name="A2336318C_Latest">[1]Economic!#REF!</definedName>
    <definedName name="A2336319F">[1]Economic!#REF!,[1]Economic!#REF!</definedName>
    <definedName name="A2336319F_Data">[1]Economic!#REF!</definedName>
    <definedName name="A2336319F_Latest">[1]Economic!#REF!</definedName>
    <definedName name="A2336320R">[1]Economic!#REF!,[1]Economic!#REF!</definedName>
    <definedName name="A2336320R_Data">[1]Economic!#REF!</definedName>
    <definedName name="A2336320R_Latest">[1]Economic!#REF!</definedName>
    <definedName name="A2336321T">[1]Economic!#REF!,[1]Economic!#REF!</definedName>
    <definedName name="A2336321T_Data">[1]Economic!#REF!</definedName>
    <definedName name="A2336321T_Latest">[1]Economic!#REF!</definedName>
    <definedName name="A2336322V">[1]Economic!#REF!,[1]Economic!#REF!</definedName>
    <definedName name="A2336322V_Data">[1]Economic!#REF!</definedName>
    <definedName name="A2336322V_Latest">[1]Economic!#REF!</definedName>
    <definedName name="A2336323W">[1]Economic!#REF!,[1]Economic!#REF!</definedName>
    <definedName name="A2336323W_Data">[1]Economic!#REF!</definedName>
    <definedName name="A2336323W_Latest">[1]Economic!#REF!</definedName>
    <definedName name="A2336324X">[1]Economic!#REF!,[1]Economic!#REF!</definedName>
    <definedName name="A2336324X_Data">[1]Economic!#REF!</definedName>
    <definedName name="A2336324X_Latest">[1]Economic!#REF!</definedName>
    <definedName name="A2336325A">[1]Economic!#REF!,[1]Economic!#REF!</definedName>
    <definedName name="A2336325A_Data">[1]Economic!#REF!</definedName>
    <definedName name="A2336325A_Latest">[1]Economic!#REF!</definedName>
    <definedName name="A2336326C">[1]Economic!#REF!,[1]Economic!#REF!</definedName>
    <definedName name="A2336326C_Data">[1]Economic!#REF!</definedName>
    <definedName name="A2336326C_Latest">[1]Economic!#REF!</definedName>
    <definedName name="A2336327F">[1]Economic!#REF!,[1]Economic!#REF!</definedName>
    <definedName name="A2336327F_Data">[1]Economic!#REF!</definedName>
    <definedName name="A2336327F_Latest">[1]Economic!#REF!</definedName>
    <definedName name="A2336328J">[1]Economic!#REF!,[1]Economic!#REF!</definedName>
    <definedName name="A2336328J_Data">[1]Economic!#REF!</definedName>
    <definedName name="A2336328J_Latest">[1]Economic!#REF!</definedName>
    <definedName name="A2336329K">[1]Economic!#REF!,[1]Economic!#REF!</definedName>
    <definedName name="A2336329K_Data">[1]Economic!#REF!</definedName>
    <definedName name="A2336329K_Latest">[1]Economic!#REF!</definedName>
    <definedName name="A2336330V">[1]Economic!#REF!,[1]Economic!#REF!</definedName>
    <definedName name="A2336330V_Data">[1]Economic!#REF!</definedName>
    <definedName name="A2336330V_Latest">[1]Economic!#REF!</definedName>
    <definedName name="A2336331W">[1]Economic!#REF!,[1]Economic!#REF!</definedName>
    <definedName name="A2336331W_Data">[1]Economic!#REF!</definedName>
    <definedName name="A2336331W_Latest">[1]Economic!#REF!</definedName>
    <definedName name="A2336332X">[1]Economic!#REF!,[1]Economic!#REF!</definedName>
    <definedName name="A2336332X_Data">[1]Economic!#REF!</definedName>
    <definedName name="A2336332X_Latest">[1]Economic!#REF!</definedName>
    <definedName name="A2336333A">[1]Economic!#REF!,[1]Economic!#REF!</definedName>
    <definedName name="A2336333A_Data">[1]Economic!#REF!</definedName>
    <definedName name="A2336333A_Latest">[1]Economic!#REF!</definedName>
    <definedName name="A2336334C">[1]Economic!#REF!,[1]Economic!#REF!</definedName>
    <definedName name="A2336334C_Data">[1]Economic!#REF!</definedName>
    <definedName name="A2336334C_Latest">[1]Economic!#REF!</definedName>
    <definedName name="A2336335F">[1]Economic!#REF!,[1]Economic!#REF!</definedName>
    <definedName name="A2336335F_Data">[1]Economic!#REF!</definedName>
    <definedName name="A2336335F_Latest">[1]Economic!#REF!</definedName>
    <definedName name="A2336336J">[1]Economic!#REF!,[1]Economic!#REF!</definedName>
    <definedName name="A2336336J_Data">[1]Economic!#REF!</definedName>
    <definedName name="A2336336J_Latest">[1]Economic!#REF!</definedName>
    <definedName name="A2336337K">[1]Economic!#REF!,[1]Economic!#REF!</definedName>
    <definedName name="A2336337K_Data">[1]Economic!#REF!</definedName>
    <definedName name="A2336337K_Latest">[1]Economic!#REF!</definedName>
    <definedName name="A2336338L">[1]Economic!#REF!,[1]Economic!#REF!</definedName>
    <definedName name="A2336338L_Data">[1]Economic!#REF!</definedName>
    <definedName name="A2336338L_Latest">[1]Economic!#REF!</definedName>
    <definedName name="A2336339R">[1]Economic!#REF!,[1]Economic!#REF!</definedName>
    <definedName name="A2336339R_Data">[1]Economic!#REF!</definedName>
    <definedName name="A2336339R_Latest">[1]Economic!#REF!</definedName>
    <definedName name="A2336340X">[1]Economic!#REF!,[1]Economic!#REF!</definedName>
    <definedName name="A2336340X_Data">[1]Economic!#REF!</definedName>
    <definedName name="A2336340X_Latest">[1]Economic!#REF!</definedName>
    <definedName name="A2336341A">[1]Economic!#REF!,[1]Economic!#REF!</definedName>
    <definedName name="A2336341A_Data">[1]Economic!#REF!</definedName>
    <definedName name="A2336341A_Latest">[1]Economic!#REF!</definedName>
    <definedName name="A2336342C">[1]Economic!#REF!,[1]Economic!#REF!</definedName>
    <definedName name="A2336342C_Data">[1]Economic!#REF!</definedName>
    <definedName name="A2336342C_Latest">[1]Economic!#REF!</definedName>
    <definedName name="A2336343F">[1]Economic!#REF!,[1]Economic!#REF!</definedName>
    <definedName name="A2336343F_Data">[1]Economic!#REF!</definedName>
    <definedName name="A2336343F_Latest">[1]Economic!#REF!</definedName>
    <definedName name="A2336344J">[1]Economic!#REF!,[1]Economic!#REF!</definedName>
    <definedName name="A2336344J_Data">[1]Economic!#REF!</definedName>
    <definedName name="A2336344J_Latest">[1]Economic!#REF!</definedName>
    <definedName name="A2336345K">[1]Economic!#REF!,[1]Economic!#REF!</definedName>
    <definedName name="A2336345K_Data">[1]Economic!#REF!</definedName>
    <definedName name="A2336345K_Latest">[1]Economic!#REF!</definedName>
    <definedName name="A2336346L">[1]Economic!$B$10:$B$19,[1]Economic!$B$20:$B$26</definedName>
    <definedName name="A2336347R">[1]Economic!$C$10:$C$19,[1]Economic!$C$20:$C$26</definedName>
    <definedName name="A2336348T">[1]Economic!$D$10:$D$19,[1]Economic!$D$20:$D$26</definedName>
    <definedName name="A2336349V">[1]Economic!$E$10:$E$19,[1]Economic!$E$20:$E$26</definedName>
    <definedName name="A2336350C">[1]Economic!$F$10:$F$19,[1]Economic!$F$20:$F$26</definedName>
    <definedName name="A2336351F">[1]Economic!$G$10:$G$19,[1]Economic!$G$20:$G$26</definedName>
    <definedName name="A2336352J">[1]Economic!$H$10:$H$19,[1]Economic!$H$20:$H$26</definedName>
    <definedName name="A2336353K">[1]Economic!$I$10:$I$19,[1]Economic!$I$20:$I$26</definedName>
    <definedName name="A2336354L">[1]Economic!$J$10:$J$19,[1]Economic!$J$20:$J$26</definedName>
    <definedName name="A2336355R">[1]Economic!#REF!,[1]Economic!#REF!</definedName>
    <definedName name="A2336355R_Data">[1]Economic!#REF!</definedName>
    <definedName name="A2336355R_Latest">[1]Economic!#REF!</definedName>
    <definedName name="A2336356T">[1]Economic!#REF!,[1]Economic!#REF!</definedName>
    <definedName name="A2336356T_Data">[1]Economic!#REF!</definedName>
    <definedName name="A2336356T_Latest">[1]Economic!#REF!</definedName>
    <definedName name="A2336357V">[1]Economic!#REF!,[1]Economic!#REF!</definedName>
    <definedName name="A2336357V_Data">[1]Economic!#REF!</definedName>
    <definedName name="A2336357V_Latest">[1]Economic!#REF!</definedName>
    <definedName name="A2336358W">[1]Economic!#REF!,[1]Economic!#REF!</definedName>
    <definedName name="A2336358W_Data">[1]Economic!#REF!</definedName>
    <definedName name="A2336358W_Latest">[1]Economic!#REF!</definedName>
    <definedName name="A2336359X">[1]Economic!#REF!,[1]Economic!#REF!</definedName>
    <definedName name="A2336359X_Data">[1]Economic!#REF!</definedName>
    <definedName name="A2336359X_Latest">[1]Economic!#REF!</definedName>
    <definedName name="A2336360J">[1]Economic!#REF!,[1]Economic!#REF!</definedName>
    <definedName name="A2336360J_Data">[1]Economic!#REF!</definedName>
    <definedName name="A2336360J_Latest">[1]Economic!#REF!</definedName>
    <definedName name="A2336361K">[1]Economic!#REF!,[1]Economic!#REF!</definedName>
    <definedName name="A2336361K_Data">[1]Economic!#REF!</definedName>
    <definedName name="A2336361K_Latest">[1]Economic!#REF!</definedName>
    <definedName name="A2336362L">[1]Economic!#REF!,[1]Economic!#REF!</definedName>
    <definedName name="A2336362L_Data">[1]Economic!#REF!</definedName>
    <definedName name="A2336362L_Latest">[1]Economic!#REF!</definedName>
    <definedName name="A2336363R">[1]Economic!#REF!,[1]Economic!#REF!</definedName>
    <definedName name="A2336363R_Data">[1]Economic!#REF!</definedName>
    <definedName name="A2336363R_Latest">[1]Economic!#REF!</definedName>
    <definedName name="A2336364T">[1]Economic!#REF!,[1]Economic!#REF!</definedName>
    <definedName name="A2336364T_Data">[1]Economic!#REF!</definedName>
    <definedName name="A2336364T_Latest">[1]Economic!#REF!</definedName>
    <definedName name="A2336365V">[1]Economic!#REF!,[1]Economic!#REF!</definedName>
    <definedName name="A2336365V_Data">[1]Economic!#REF!</definedName>
    <definedName name="A2336365V_Latest">[1]Economic!#REF!</definedName>
    <definedName name="A2336366W">[1]Economic!#REF!,[1]Economic!#REF!</definedName>
    <definedName name="A2336366W_Data">[1]Economic!#REF!</definedName>
    <definedName name="A2336366W_Latest">[1]Economic!#REF!</definedName>
    <definedName name="A2336367X">[1]Economic!#REF!,[1]Economic!#REF!</definedName>
    <definedName name="A2336367X_Data">[1]Economic!#REF!</definedName>
    <definedName name="A2336367X_Latest">[1]Economic!#REF!</definedName>
    <definedName name="A2336368A">[1]Economic!#REF!,[1]Economic!#REF!</definedName>
    <definedName name="A2336368A_Data">[1]Economic!#REF!</definedName>
    <definedName name="A2336368A_Latest">[1]Economic!#REF!</definedName>
    <definedName name="A2336369C">[1]Economic!#REF!,[1]Economic!#REF!</definedName>
    <definedName name="A2336369C_Data">[1]Economic!#REF!</definedName>
    <definedName name="A2336369C_Latest">[1]Economic!#REF!</definedName>
    <definedName name="A2336370L">[1]Economic!#REF!,[1]Economic!#REF!</definedName>
    <definedName name="A2336370L_Data">[1]Economic!#REF!</definedName>
    <definedName name="A2336370L_Latest">[1]Economic!#REF!</definedName>
    <definedName name="A2336371R">[1]Economic!#REF!,[1]Economic!#REF!</definedName>
    <definedName name="A2336371R_Data">[1]Economic!#REF!</definedName>
    <definedName name="A2336371R_Latest">[1]Economic!#REF!</definedName>
    <definedName name="A2336372T">[1]Economic!#REF!,[1]Economic!#REF!</definedName>
    <definedName name="A2336372T_Data">[1]Economic!#REF!</definedName>
    <definedName name="A2336372T_Latest">[1]Economic!#REF!</definedName>
    <definedName name="A2336373V">[1]Economic!#REF!,[1]Economic!#REF!</definedName>
    <definedName name="A2336373V_Data">[1]Economic!#REF!</definedName>
    <definedName name="A2336373V_Latest">[1]Economic!#REF!</definedName>
    <definedName name="A2336374W">[1]Economic!#REF!,[1]Economic!#REF!</definedName>
    <definedName name="A2336374W_Data">[1]Economic!#REF!</definedName>
    <definedName name="A2336374W_Latest">[1]Economic!#REF!</definedName>
    <definedName name="A2336375X">[1]Economic!#REF!,[1]Economic!#REF!</definedName>
    <definedName name="A2336375X_Data">[1]Economic!#REF!</definedName>
    <definedName name="A2336375X_Latest">[1]Economic!#REF!</definedName>
    <definedName name="A2336376A">[1]Economic!#REF!,[1]Economic!#REF!</definedName>
    <definedName name="A2336376A_Data">[1]Economic!#REF!</definedName>
    <definedName name="A2336376A_Latest">[1]Economic!#REF!</definedName>
    <definedName name="A2336377C">[1]Economic!#REF!,[1]Economic!#REF!</definedName>
    <definedName name="A2336377C_Data">[1]Economic!#REF!</definedName>
    <definedName name="A2336377C_Latest">[1]Economic!#REF!</definedName>
    <definedName name="A2336378F">[1]Economic!#REF!,[1]Economic!#REF!</definedName>
    <definedName name="A2336378F_Data">[1]Economic!#REF!</definedName>
    <definedName name="A2336378F_Latest">[1]Economic!#REF!</definedName>
    <definedName name="A2336379J">[1]Economic!#REF!,[1]Economic!#REF!</definedName>
    <definedName name="A2336379J_Data">[1]Economic!#REF!</definedName>
    <definedName name="A2336379J_Latest">[1]Economic!#REF!</definedName>
    <definedName name="A2336380T">[1]Economic!#REF!,[1]Economic!#REF!</definedName>
    <definedName name="A2336380T_Data">[1]Economic!#REF!</definedName>
    <definedName name="A2336380T_Latest">[1]Economic!#REF!</definedName>
    <definedName name="A2336381V">[1]Economic!#REF!,[1]Economic!#REF!</definedName>
    <definedName name="A2336381V_Data">[1]Economic!#REF!</definedName>
    <definedName name="A2336381V_Latest">[1]Economic!#REF!</definedName>
    <definedName name="A2336382W">[1]Economic!#REF!,[1]Economic!#REF!</definedName>
    <definedName name="A2336382W_Data">[1]Economic!#REF!</definedName>
    <definedName name="A2336382W_Latest">[1]Economic!#REF!</definedName>
    <definedName name="A2336383X">[1]Economic!#REF!,[1]Economic!#REF!</definedName>
    <definedName name="A2336383X_Data">[1]Economic!#REF!</definedName>
    <definedName name="A2336383X_Latest">[1]Economic!#REF!</definedName>
    <definedName name="A2336384A">[1]Economic!#REF!,[1]Economic!#REF!</definedName>
    <definedName name="A2336384A_Data">[1]Economic!#REF!</definedName>
    <definedName name="A2336384A_Latest">[1]Economic!#REF!</definedName>
    <definedName name="A2336385C">[1]Economic!#REF!,[1]Economic!#REF!</definedName>
    <definedName name="A2336385C_Data">[1]Economic!#REF!</definedName>
    <definedName name="A2336385C_Latest">[1]Economic!#REF!</definedName>
    <definedName name="A2336386F">[1]Economic!#REF!,[1]Economic!#REF!</definedName>
    <definedName name="A2336386F_Data">[1]Economic!#REF!</definedName>
    <definedName name="A2336386F_Latest">[1]Economic!#REF!</definedName>
    <definedName name="A2336387J">[1]Economic!#REF!,[1]Economic!#REF!</definedName>
    <definedName name="A2336387J_Data">[1]Economic!#REF!</definedName>
    <definedName name="A2336387J_Latest">[1]Economic!#REF!</definedName>
    <definedName name="A2336388K">[1]Economic!#REF!,[1]Economic!#REF!</definedName>
    <definedName name="A2336388K_Data">[1]Economic!#REF!</definedName>
    <definedName name="A2336388K_Latest">[1]Economic!#REF!</definedName>
    <definedName name="A2336389L">[1]Economic!#REF!,[1]Economic!#REF!</definedName>
    <definedName name="A2336389L_Data">[1]Economic!#REF!</definedName>
    <definedName name="A2336389L_Latest">[1]Economic!#REF!</definedName>
    <definedName name="A2336390W">[1]Economic!#REF!,[1]Economic!#REF!</definedName>
    <definedName name="A2336390W_Data">[1]Economic!#REF!</definedName>
    <definedName name="A2336390W_Latest">[1]Economic!#REF!</definedName>
    <definedName name="A2336391X">[1]Economic!#REF!,[1]Economic!#REF!</definedName>
    <definedName name="A2336391X_Data">[1]Economic!#REF!</definedName>
    <definedName name="A2336391X_Latest">[1]Economic!#REF!</definedName>
    <definedName name="A2336392A">[1]Economic!#REF!,[1]Economic!#REF!</definedName>
    <definedName name="A2336392A_Data">[1]Economic!#REF!</definedName>
    <definedName name="A2336392A_Latest">[1]Economic!#REF!</definedName>
    <definedName name="A2336393C">[1]Economic!#REF!,[1]Economic!#REF!</definedName>
    <definedName name="A2336393C_Data">[1]Economic!#REF!</definedName>
    <definedName name="A2336393C_Latest">[1]Economic!#REF!</definedName>
    <definedName name="A2336394F">[1]Economic!#REF!,[1]Economic!#REF!</definedName>
    <definedName name="A2336394F_Data">[1]Economic!#REF!</definedName>
    <definedName name="A2336394F_Latest">[1]Economic!#REF!</definedName>
    <definedName name="Date_Range">[1]Economic!$A$11:$A$19,[1]Economic!$A$20:$A$26</definedName>
    <definedName name="_xlnm.Print_Area" localSheetId="5">SA!$A$1:$BD$51</definedName>
    <definedName name="_xlnm.Print_Area" localSheetId="7">Vic!$A$1:$BD$51</definedName>
  </definedNames>
  <calcPr calcId="125725"/>
</workbook>
</file>

<file path=xl/calcChain.xml><?xml version="1.0" encoding="utf-8"?>
<calcChain xmlns="http://schemas.openxmlformats.org/spreadsheetml/2006/main">
  <c r="B88" i="17"/>
  <c r="B87"/>
  <c r="B86"/>
  <c r="B85"/>
  <c r="B84"/>
  <c r="B83"/>
  <c r="B82"/>
  <c r="B81"/>
  <c r="B62"/>
  <c r="B61"/>
  <c r="B60"/>
  <c r="B59"/>
  <c r="B58"/>
  <c r="B57"/>
  <c r="B56"/>
  <c r="B55"/>
  <c r="B54"/>
  <c r="J49"/>
  <c r="I49"/>
  <c r="H49"/>
  <c r="G49"/>
  <c r="F49"/>
  <c r="E49"/>
  <c r="D49"/>
  <c r="C49"/>
  <c r="B49"/>
  <c r="A49"/>
  <c r="J48"/>
  <c r="I48"/>
  <c r="H48"/>
  <c r="G48"/>
  <c r="F48"/>
  <c r="E48"/>
  <c r="D48"/>
  <c r="C48"/>
  <c r="B48"/>
  <c r="A48"/>
  <c r="J47"/>
  <c r="I47"/>
  <c r="H47"/>
  <c r="G47"/>
  <c r="F47"/>
  <c r="E47"/>
  <c r="D47"/>
  <c r="C47"/>
  <c r="B47"/>
  <c r="A47"/>
  <c r="J45"/>
  <c r="I45"/>
  <c r="H45"/>
  <c r="G45"/>
  <c r="F45"/>
  <c r="E45"/>
  <c r="D45"/>
  <c r="C45"/>
  <c r="B45"/>
  <c r="A45"/>
  <c r="I29"/>
  <c r="H29"/>
  <c r="G29"/>
  <c r="F29"/>
  <c r="E29"/>
  <c r="D29"/>
  <c r="C29"/>
  <c r="B29"/>
  <c r="I28"/>
  <c r="H28"/>
  <c r="G28"/>
  <c r="F28"/>
  <c r="E28"/>
  <c r="D28"/>
  <c r="C28"/>
  <c r="B28"/>
  <c r="I27"/>
  <c r="H27"/>
  <c r="G27"/>
  <c r="F27"/>
  <c r="E27"/>
  <c r="D27"/>
  <c r="C27"/>
  <c r="B27"/>
  <c r="I26"/>
  <c r="H26"/>
  <c r="G26"/>
  <c r="F26"/>
  <c r="E26"/>
  <c r="D26"/>
  <c r="C26"/>
  <c r="B26"/>
  <c r="I25"/>
  <c r="H25"/>
  <c r="G25"/>
  <c r="F25"/>
  <c r="E25"/>
  <c r="D25"/>
  <c r="C25"/>
  <c r="B25"/>
  <c r="I24"/>
  <c r="H24"/>
  <c r="G24"/>
  <c r="F24"/>
  <c r="E24"/>
  <c r="D24"/>
  <c r="C24"/>
  <c r="B24"/>
  <c r="I23"/>
  <c r="H23"/>
  <c r="G23"/>
  <c r="F23"/>
  <c r="E23"/>
  <c r="D23"/>
  <c r="C23"/>
  <c r="B23"/>
  <c r="C11"/>
  <c r="B11"/>
  <c r="C10"/>
  <c r="B10"/>
  <c r="C9"/>
  <c r="B9"/>
  <c r="C8"/>
  <c r="B8"/>
  <c r="C7"/>
  <c r="B7"/>
  <c r="C6"/>
  <c r="B6"/>
  <c r="C5"/>
  <c r="B5"/>
  <c r="C4"/>
  <c r="B4"/>
  <c r="F191" i="9"/>
  <c r="K179" s="1"/>
  <c r="E191"/>
  <c r="J179" s="1"/>
  <c r="D191"/>
  <c r="I178" s="1"/>
  <c r="AA188"/>
  <c r="H188"/>
  <c r="W181"/>
  <c r="W180"/>
  <c r="W179"/>
  <c r="BC178"/>
  <c r="W178"/>
  <c r="W167"/>
  <c r="W166"/>
  <c r="W165"/>
  <c r="W164"/>
  <c r="I163"/>
  <c r="AA162"/>
  <c r="H162"/>
  <c r="W158"/>
  <c r="I157"/>
  <c r="W156"/>
  <c r="W155"/>
  <c r="W154"/>
  <c r="I153"/>
  <c r="AK152"/>
  <c r="W151"/>
  <c r="W150"/>
  <c r="W149"/>
  <c r="W148"/>
  <c r="F144"/>
  <c r="K135" s="1"/>
  <c r="E144"/>
  <c r="D144"/>
  <c r="AA141"/>
  <c r="H141"/>
  <c r="J140"/>
  <c r="W134"/>
  <c r="W133"/>
  <c r="W132"/>
  <c r="BC131"/>
  <c r="W129"/>
  <c r="W128"/>
  <c r="W127"/>
  <c r="W126"/>
  <c r="W124"/>
  <c r="W123"/>
  <c r="W122"/>
  <c r="J121"/>
  <c r="W120"/>
  <c r="W119"/>
  <c r="W118"/>
  <c r="W117"/>
  <c r="AA115"/>
  <c r="H115"/>
  <c r="W114"/>
  <c r="W113"/>
  <c r="W112"/>
  <c r="W111"/>
  <c r="W109"/>
  <c r="W108"/>
  <c r="W107"/>
  <c r="AK105"/>
  <c r="W104"/>
  <c r="W103"/>
  <c r="W102"/>
  <c r="W101"/>
  <c r="F97"/>
  <c r="K74" s="1"/>
  <c r="E97"/>
  <c r="J69" s="1"/>
  <c r="D97"/>
  <c r="I85" s="1"/>
  <c r="AA94"/>
  <c r="H94"/>
  <c r="W87"/>
  <c r="W86"/>
  <c r="W85"/>
  <c r="BC84"/>
  <c r="W82"/>
  <c r="W81"/>
  <c r="W80"/>
  <c r="W79"/>
  <c r="W77"/>
  <c r="W76"/>
  <c r="W75"/>
  <c r="W73"/>
  <c r="W72"/>
  <c r="W71"/>
  <c r="W70"/>
  <c r="AA68"/>
  <c r="H68"/>
  <c r="W67"/>
  <c r="W66"/>
  <c r="W65"/>
  <c r="W64"/>
  <c r="J63"/>
  <c r="W62"/>
  <c r="W61"/>
  <c r="W60"/>
  <c r="AK58"/>
  <c r="W57"/>
  <c r="W56"/>
  <c r="W55"/>
  <c r="W54"/>
  <c r="F50"/>
  <c r="K46" s="1"/>
  <c r="E50"/>
  <c r="J41" s="1"/>
  <c r="D50"/>
  <c r="AA47"/>
  <c r="H47"/>
  <c r="I46"/>
  <c r="AK45"/>
  <c r="AK44"/>
  <c r="AK43"/>
  <c r="AK42"/>
  <c r="W40"/>
  <c r="W39"/>
  <c r="W38"/>
  <c r="BC37"/>
  <c r="W35"/>
  <c r="W34"/>
  <c r="W33"/>
  <c r="W32"/>
  <c r="W30"/>
  <c r="W29"/>
  <c r="W28"/>
  <c r="W26"/>
  <c r="W25"/>
  <c r="W24"/>
  <c r="W23"/>
  <c r="K22"/>
  <c r="AA21"/>
  <c r="H21"/>
  <c r="W20"/>
  <c r="W19"/>
  <c r="W18"/>
  <c r="W17"/>
  <c r="W15"/>
  <c r="W14"/>
  <c r="W13"/>
  <c r="AK11"/>
  <c r="W10"/>
  <c r="W9"/>
  <c r="W8"/>
  <c r="W7"/>
  <c r="E191" i="1"/>
  <c r="J179" s="1"/>
  <c r="D191"/>
  <c r="I160" s="1"/>
  <c r="AA188"/>
  <c r="H188"/>
  <c r="G186"/>
  <c r="AQ185"/>
  <c r="G185"/>
  <c r="G184"/>
  <c r="AN181"/>
  <c r="U180" s="1"/>
  <c r="V181"/>
  <c r="U181"/>
  <c r="T181"/>
  <c r="V180"/>
  <c r="T180"/>
  <c r="V179"/>
  <c r="U179"/>
  <c r="T179"/>
  <c r="Z178"/>
  <c r="Y178"/>
  <c r="X178"/>
  <c r="J177"/>
  <c r="J172"/>
  <c r="V167"/>
  <c r="U167"/>
  <c r="T167"/>
  <c r="V166"/>
  <c r="U166"/>
  <c r="T166"/>
  <c r="V165"/>
  <c r="U165"/>
  <c r="T165"/>
  <c r="V164"/>
  <c r="U164"/>
  <c r="T164"/>
  <c r="AT162"/>
  <c r="AA162"/>
  <c r="H162"/>
  <c r="V161"/>
  <c r="U161"/>
  <c r="T161"/>
  <c r="V160"/>
  <c r="U160"/>
  <c r="T160"/>
  <c r="V159"/>
  <c r="U159"/>
  <c r="T159"/>
  <c r="J159"/>
  <c r="V158"/>
  <c r="U158"/>
  <c r="T158"/>
  <c r="K158"/>
  <c r="J158"/>
  <c r="V156"/>
  <c r="U156"/>
  <c r="T156"/>
  <c r="V155"/>
  <c r="U155"/>
  <c r="T155"/>
  <c r="V154"/>
  <c r="U154"/>
  <c r="T154"/>
  <c r="K153"/>
  <c r="V152"/>
  <c r="U152"/>
  <c r="T152"/>
  <c r="V151"/>
  <c r="U151"/>
  <c r="T151"/>
  <c r="V150"/>
  <c r="U150"/>
  <c r="T150"/>
  <c r="V149"/>
  <c r="U149"/>
  <c r="T149"/>
  <c r="V148"/>
  <c r="U148"/>
  <c r="T148"/>
  <c r="E144"/>
  <c r="J130" s="1"/>
  <c r="D144"/>
  <c r="I113" s="1"/>
  <c r="AA141"/>
  <c r="H141"/>
  <c r="G139"/>
  <c r="AQ138"/>
  <c r="G138"/>
  <c r="G137"/>
  <c r="AN134"/>
  <c r="U134" s="1"/>
  <c r="V134"/>
  <c r="T134"/>
  <c r="V133"/>
  <c r="U133"/>
  <c r="T133"/>
  <c r="V132"/>
  <c r="U132"/>
  <c r="T132"/>
  <c r="Z131"/>
  <c r="Y131"/>
  <c r="X131"/>
  <c r="K121"/>
  <c r="V120"/>
  <c r="U120"/>
  <c r="T120"/>
  <c r="V119"/>
  <c r="U119"/>
  <c r="T119"/>
  <c r="V118"/>
  <c r="U118"/>
  <c r="T118"/>
  <c r="V117"/>
  <c r="U117"/>
  <c r="T117"/>
  <c r="AT115"/>
  <c r="AA115"/>
  <c r="H115"/>
  <c r="V114"/>
  <c r="U114"/>
  <c r="T114"/>
  <c r="V113"/>
  <c r="U113"/>
  <c r="T113"/>
  <c r="V112"/>
  <c r="U112"/>
  <c r="T112"/>
  <c r="V111"/>
  <c r="U111"/>
  <c r="T111"/>
  <c r="K110"/>
  <c r="V109"/>
  <c r="U109"/>
  <c r="T109"/>
  <c r="V108"/>
  <c r="U108"/>
  <c r="T108"/>
  <c r="V107"/>
  <c r="U107"/>
  <c r="T107"/>
  <c r="V105"/>
  <c r="U105"/>
  <c r="T105"/>
  <c r="V104"/>
  <c r="U104"/>
  <c r="T104"/>
  <c r="V103"/>
  <c r="U103"/>
  <c r="T103"/>
  <c r="V102"/>
  <c r="U102"/>
  <c r="T102"/>
  <c r="V101"/>
  <c r="U101"/>
  <c r="T101"/>
  <c r="E97"/>
  <c r="J65" s="1"/>
  <c r="D97"/>
  <c r="AA94"/>
  <c r="H94"/>
  <c r="G92"/>
  <c r="AQ91"/>
  <c r="G91"/>
  <c r="G90"/>
  <c r="AN87"/>
  <c r="U87" s="1"/>
  <c r="V87"/>
  <c r="T87"/>
  <c r="V86"/>
  <c r="U86"/>
  <c r="T86"/>
  <c r="V85"/>
  <c r="U85"/>
  <c r="T85"/>
  <c r="Z84"/>
  <c r="Y84"/>
  <c r="X84"/>
  <c r="K78"/>
  <c r="V73"/>
  <c r="U73"/>
  <c r="T73"/>
  <c r="V72"/>
  <c r="U72"/>
  <c r="T72"/>
  <c r="V71"/>
  <c r="U71"/>
  <c r="T71"/>
  <c r="V70"/>
  <c r="U70"/>
  <c r="T70"/>
  <c r="AT68"/>
  <c r="AA68"/>
  <c r="H68"/>
  <c r="V67"/>
  <c r="U67"/>
  <c r="T67"/>
  <c r="V66"/>
  <c r="U66"/>
  <c r="T66"/>
  <c r="I66"/>
  <c r="V65"/>
  <c r="U65"/>
  <c r="T65"/>
  <c r="V64"/>
  <c r="U64"/>
  <c r="T64"/>
  <c r="V62"/>
  <c r="U62"/>
  <c r="T62"/>
  <c r="V61"/>
  <c r="U61"/>
  <c r="T61"/>
  <c r="V60"/>
  <c r="U60"/>
  <c r="T60"/>
  <c r="V58"/>
  <c r="U58"/>
  <c r="T58"/>
  <c r="V57"/>
  <c r="U57"/>
  <c r="T57"/>
  <c r="V56"/>
  <c r="U56"/>
  <c r="T56"/>
  <c r="V55"/>
  <c r="U55"/>
  <c r="T55"/>
  <c r="V54"/>
  <c r="U54"/>
  <c r="T54"/>
  <c r="E50"/>
  <c r="J39" s="1"/>
  <c r="D50"/>
  <c r="I18" s="1"/>
  <c r="AA47"/>
  <c r="H47"/>
  <c r="G45"/>
  <c r="AQ44"/>
  <c r="G44"/>
  <c r="G43"/>
  <c r="AN40"/>
  <c r="U40" s="1"/>
  <c r="V40"/>
  <c r="T40"/>
  <c r="V39"/>
  <c r="U39"/>
  <c r="T39"/>
  <c r="V38"/>
  <c r="U38"/>
  <c r="T38"/>
  <c r="J38"/>
  <c r="I38"/>
  <c r="Z37"/>
  <c r="Y37"/>
  <c r="X37"/>
  <c r="K36"/>
  <c r="J31"/>
  <c r="I31"/>
  <c r="V26"/>
  <c r="U26"/>
  <c r="T26"/>
  <c r="V25"/>
  <c r="U25"/>
  <c r="T25"/>
  <c r="V24"/>
  <c r="U24"/>
  <c r="T24"/>
  <c r="V23"/>
  <c r="U23"/>
  <c r="T23"/>
  <c r="AA21"/>
  <c r="H21"/>
  <c r="V20"/>
  <c r="U20"/>
  <c r="T20"/>
  <c r="K20"/>
  <c r="V19"/>
  <c r="U19"/>
  <c r="T19"/>
  <c r="V18"/>
  <c r="U18"/>
  <c r="T18"/>
  <c r="J18"/>
  <c r="V17"/>
  <c r="U17"/>
  <c r="T17"/>
  <c r="K17"/>
  <c r="J17"/>
  <c r="V15"/>
  <c r="U15"/>
  <c r="T15"/>
  <c r="V14"/>
  <c r="U14"/>
  <c r="T14"/>
  <c r="V13"/>
  <c r="U13"/>
  <c r="T13"/>
  <c r="K12"/>
  <c r="V11"/>
  <c r="U11"/>
  <c r="T11"/>
  <c r="V10"/>
  <c r="U10"/>
  <c r="T10"/>
  <c r="V9"/>
  <c r="U9"/>
  <c r="T9"/>
  <c r="V8"/>
  <c r="U8"/>
  <c r="T8"/>
  <c r="V7"/>
  <c r="U7"/>
  <c r="T7"/>
  <c r="W191" i="11"/>
  <c r="F191"/>
  <c r="K187" s="1"/>
  <c r="E191"/>
  <c r="J181" s="1"/>
  <c r="D191"/>
  <c r="I179" s="1"/>
  <c r="AK188"/>
  <c r="AA188"/>
  <c r="H188"/>
  <c r="AK187"/>
  <c r="J180"/>
  <c r="T179"/>
  <c r="BC178"/>
  <c r="AA178"/>
  <c r="AB178" s="1"/>
  <c r="J178"/>
  <c r="T168"/>
  <c r="J165"/>
  <c r="J164"/>
  <c r="W163"/>
  <c r="AA162"/>
  <c r="H162"/>
  <c r="J161"/>
  <c r="J158"/>
  <c r="J156"/>
  <c r="T155"/>
  <c r="T154"/>
  <c r="J154"/>
  <c r="W144"/>
  <c r="F144"/>
  <c r="K140" s="1"/>
  <c r="E144"/>
  <c r="D144"/>
  <c r="I110" s="1"/>
  <c r="AK141"/>
  <c r="AA141"/>
  <c r="H141"/>
  <c r="AK140"/>
  <c r="T132"/>
  <c r="J132"/>
  <c r="BC131"/>
  <c r="AA131"/>
  <c r="K131"/>
  <c r="T121"/>
  <c r="W116"/>
  <c r="K116"/>
  <c r="AA115"/>
  <c r="H115"/>
  <c r="T108"/>
  <c r="T107"/>
  <c r="W97"/>
  <c r="F97"/>
  <c r="K93" s="1"/>
  <c r="E97"/>
  <c r="J93" s="1"/>
  <c r="D97"/>
  <c r="I84" s="1"/>
  <c r="AK94"/>
  <c r="AA94"/>
  <c r="H94"/>
  <c r="AK93"/>
  <c r="T85"/>
  <c r="BC84"/>
  <c r="AA84"/>
  <c r="AD84" s="1"/>
  <c r="T74"/>
  <c r="W69"/>
  <c r="AA68"/>
  <c r="H68"/>
  <c r="T61"/>
  <c r="T60"/>
  <c r="W50"/>
  <c r="F50"/>
  <c r="K16" s="1"/>
  <c r="E50"/>
  <c r="J23" s="1"/>
  <c r="D50"/>
  <c r="I41" s="1"/>
  <c r="AK47"/>
  <c r="AA47"/>
  <c r="H47"/>
  <c r="AK46"/>
  <c r="I46"/>
  <c r="T38"/>
  <c r="I38"/>
  <c r="BC37"/>
  <c r="AA37"/>
  <c r="AB37" s="1"/>
  <c r="T27"/>
  <c r="I27"/>
  <c r="W22"/>
  <c r="I22"/>
  <c r="AA21"/>
  <c r="H21"/>
  <c r="T14"/>
  <c r="T13"/>
  <c r="G191" i="7"/>
  <c r="W188"/>
  <c r="H188"/>
  <c r="G186"/>
  <c r="W181"/>
  <c r="AN180"/>
  <c r="W180"/>
  <c r="W179"/>
  <c r="BC178"/>
  <c r="AN178"/>
  <c r="W176"/>
  <c r="W175"/>
  <c r="W174"/>
  <c r="W173"/>
  <c r="W171"/>
  <c r="W170"/>
  <c r="W169"/>
  <c r="W167"/>
  <c r="W166"/>
  <c r="W165"/>
  <c r="W164"/>
  <c r="AA162"/>
  <c r="H162"/>
  <c r="W161"/>
  <c r="AN160"/>
  <c r="W160"/>
  <c r="W159"/>
  <c r="W158"/>
  <c r="W156"/>
  <c r="W155"/>
  <c r="W154"/>
  <c r="W152"/>
  <c r="W151"/>
  <c r="W150"/>
  <c r="W149"/>
  <c r="W148"/>
  <c r="G144"/>
  <c r="W141"/>
  <c r="H141"/>
  <c r="G139"/>
  <c r="W134"/>
  <c r="AN133"/>
  <c r="W133"/>
  <c r="W132"/>
  <c r="AN131"/>
  <c r="W129"/>
  <c r="W128"/>
  <c r="W127"/>
  <c r="W126"/>
  <c r="W124"/>
  <c r="W123"/>
  <c r="W122"/>
  <c r="W120"/>
  <c r="W119"/>
  <c r="W118"/>
  <c r="W117"/>
  <c r="AA115"/>
  <c r="H115"/>
  <c r="W114"/>
  <c r="AN113"/>
  <c r="W113"/>
  <c r="W112"/>
  <c r="W111"/>
  <c r="W109"/>
  <c r="W108"/>
  <c r="W107"/>
  <c r="W105"/>
  <c r="W104"/>
  <c r="W103"/>
  <c r="W102"/>
  <c r="W101"/>
  <c r="G97"/>
  <c r="W94"/>
  <c r="H94"/>
  <c r="G92"/>
  <c r="W87"/>
  <c r="AN86"/>
  <c r="W86"/>
  <c r="W85"/>
  <c r="AN84"/>
  <c r="W82"/>
  <c r="W81"/>
  <c r="W80"/>
  <c r="W79"/>
  <c r="W77"/>
  <c r="W76"/>
  <c r="W75"/>
  <c r="W73"/>
  <c r="W72"/>
  <c r="W71"/>
  <c r="W70"/>
  <c r="AA68"/>
  <c r="H68"/>
  <c r="W67"/>
  <c r="AN66"/>
  <c r="W66"/>
  <c r="W65"/>
  <c r="W64"/>
  <c r="W62"/>
  <c r="W61"/>
  <c r="W60"/>
  <c r="W58"/>
  <c r="W57"/>
  <c r="W56"/>
  <c r="W55"/>
  <c r="W54"/>
  <c r="G50"/>
  <c r="F50" s="1"/>
  <c r="K37" s="1"/>
  <c r="W47"/>
  <c r="H47"/>
  <c r="AK45"/>
  <c r="G45"/>
  <c r="AK44"/>
  <c r="AK43"/>
  <c r="AK42"/>
  <c r="W40"/>
  <c r="AN39"/>
  <c r="W39"/>
  <c r="W38"/>
  <c r="AN37"/>
  <c r="W35"/>
  <c r="W34"/>
  <c r="W33"/>
  <c r="W32"/>
  <c r="W30"/>
  <c r="W29"/>
  <c r="W28"/>
  <c r="W26"/>
  <c r="W25"/>
  <c r="W24"/>
  <c r="W23"/>
  <c r="AA21"/>
  <c r="W21"/>
  <c r="H21"/>
  <c r="W20"/>
  <c r="AN19"/>
  <c r="W19"/>
  <c r="W18"/>
  <c r="W17"/>
  <c r="W15"/>
  <c r="W14"/>
  <c r="W13"/>
  <c r="W11"/>
  <c r="W10"/>
  <c r="W9"/>
  <c r="W8"/>
  <c r="W7"/>
  <c r="V191" i="8"/>
  <c r="U191"/>
  <c r="T191"/>
  <c r="F191"/>
  <c r="E191"/>
  <c r="D191"/>
  <c r="I163" s="1"/>
  <c r="W190"/>
  <c r="G190"/>
  <c r="W188"/>
  <c r="G188"/>
  <c r="G186"/>
  <c r="AP185"/>
  <c r="W185"/>
  <c r="G185"/>
  <c r="G184"/>
  <c r="BC178"/>
  <c r="V178"/>
  <c r="U178"/>
  <c r="T178"/>
  <c r="AA163"/>
  <c r="AA162"/>
  <c r="G162"/>
  <c r="AQ160"/>
  <c r="AQ159"/>
  <c r="T159"/>
  <c r="V144"/>
  <c r="U144"/>
  <c r="T144"/>
  <c r="F144"/>
  <c r="E144"/>
  <c r="D144"/>
  <c r="I132" s="1"/>
  <c r="W143"/>
  <c r="G143"/>
  <c r="W141"/>
  <c r="G141"/>
  <c r="G139"/>
  <c r="AP138"/>
  <c r="W138"/>
  <c r="G138"/>
  <c r="G137"/>
  <c r="BC131"/>
  <c r="V131"/>
  <c r="U131"/>
  <c r="T131"/>
  <c r="AA116"/>
  <c r="AA115"/>
  <c r="G115"/>
  <c r="AQ113"/>
  <c r="AQ112"/>
  <c r="T112"/>
  <c r="V97"/>
  <c r="U97"/>
  <c r="T97"/>
  <c r="F97"/>
  <c r="E97"/>
  <c r="D97"/>
  <c r="I93" s="1"/>
  <c r="W96"/>
  <c r="G96"/>
  <c r="W94"/>
  <c r="G94"/>
  <c r="G92"/>
  <c r="AP91"/>
  <c r="W91"/>
  <c r="G91"/>
  <c r="G90"/>
  <c r="BC84"/>
  <c r="V84"/>
  <c r="U84"/>
  <c r="T84"/>
  <c r="AA69"/>
  <c r="AA68"/>
  <c r="G68"/>
  <c r="AQ66"/>
  <c r="AQ65"/>
  <c r="T65"/>
  <c r="V50"/>
  <c r="U50"/>
  <c r="T50"/>
  <c r="F50"/>
  <c r="E50"/>
  <c r="D50"/>
  <c r="I41" s="1"/>
  <c r="W49"/>
  <c r="G49"/>
  <c r="W47"/>
  <c r="G47"/>
  <c r="G45"/>
  <c r="AP44"/>
  <c r="W44"/>
  <c r="G44"/>
  <c r="G43"/>
  <c r="BC37"/>
  <c r="AA22"/>
  <c r="G21"/>
  <c r="AQ19"/>
  <c r="AQ18"/>
  <c r="T18"/>
  <c r="I12"/>
  <c r="G50" i="13"/>
  <c r="AK47"/>
  <c r="AA47"/>
  <c r="H47"/>
  <c r="AK46"/>
  <c r="AQ45"/>
  <c r="D45"/>
  <c r="AQ44"/>
  <c r="AQ43"/>
  <c r="AQ42"/>
  <c r="AK41"/>
  <c r="X38"/>
  <c r="T38"/>
  <c r="BC37"/>
  <c r="X37"/>
  <c r="T29"/>
  <c r="T28"/>
  <c r="X27"/>
  <c r="U23"/>
  <c r="T23"/>
  <c r="X21"/>
  <c r="H21"/>
  <c r="X14"/>
  <c r="U14"/>
  <c r="T14"/>
  <c r="X13"/>
  <c r="U13"/>
  <c r="T13"/>
  <c r="AK12"/>
  <c r="V191" i="12"/>
  <c r="U191"/>
  <c r="T191"/>
  <c r="F191"/>
  <c r="K179" s="1"/>
  <c r="E191"/>
  <c r="J187" s="1"/>
  <c r="D191"/>
  <c r="AA188"/>
  <c r="G188"/>
  <c r="AK187"/>
  <c r="BC178"/>
  <c r="Z178"/>
  <c r="Y178"/>
  <c r="X178"/>
  <c r="J167"/>
  <c r="K163"/>
  <c r="AA162"/>
  <c r="H162"/>
  <c r="J160"/>
  <c r="V144"/>
  <c r="U144"/>
  <c r="T144"/>
  <c r="F144"/>
  <c r="K135" s="1"/>
  <c r="E144"/>
  <c r="J132" s="1"/>
  <c r="D144"/>
  <c r="I182" s="1"/>
  <c r="AA141"/>
  <c r="G141"/>
  <c r="I140"/>
  <c r="BC131"/>
  <c r="Z131"/>
  <c r="Y131"/>
  <c r="AC119" s="1"/>
  <c r="X131"/>
  <c r="I131"/>
  <c r="AA115"/>
  <c r="H115"/>
  <c r="I110"/>
  <c r="V49"/>
  <c r="U49"/>
  <c r="T49"/>
  <c r="F49"/>
  <c r="E49"/>
  <c r="D49"/>
  <c r="AA47"/>
  <c r="G47"/>
  <c r="AQ45"/>
  <c r="V45"/>
  <c r="U45"/>
  <c r="T45"/>
  <c r="G45"/>
  <c r="F45"/>
  <c r="E45"/>
  <c r="D45"/>
  <c r="AQ44"/>
  <c r="V44"/>
  <c r="U44"/>
  <c r="T44"/>
  <c r="G44"/>
  <c r="F44"/>
  <c r="E44"/>
  <c r="D44"/>
  <c r="AQ43"/>
  <c r="V43"/>
  <c r="U43"/>
  <c r="T43"/>
  <c r="G43"/>
  <c r="F43"/>
  <c r="E43"/>
  <c r="D43"/>
  <c r="AQ42"/>
  <c r="G42"/>
  <c r="F42"/>
  <c r="E42"/>
  <c r="D42"/>
  <c r="V40"/>
  <c r="U40"/>
  <c r="T40"/>
  <c r="F40"/>
  <c r="E40"/>
  <c r="D40"/>
  <c r="V39"/>
  <c r="U39"/>
  <c r="T39"/>
  <c r="F39"/>
  <c r="E39"/>
  <c r="D39"/>
  <c r="V38"/>
  <c r="U38"/>
  <c r="T38"/>
  <c r="F38"/>
  <c r="E38"/>
  <c r="D38"/>
  <c r="Z37"/>
  <c r="Y37"/>
  <c r="X37"/>
  <c r="V35"/>
  <c r="U35"/>
  <c r="T35"/>
  <c r="F35"/>
  <c r="E35"/>
  <c r="D35"/>
  <c r="V30"/>
  <c r="U30"/>
  <c r="T30"/>
  <c r="F30"/>
  <c r="E30"/>
  <c r="D30"/>
  <c r="V29"/>
  <c r="U29"/>
  <c r="T29"/>
  <c r="F29"/>
  <c r="E29"/>
  <c r="D29"/>
  <c r="V28"/>
  <c r="U28"/>
  <c r="T28"/>
  <c r="F28"/>
  <c r="E28"/>
  <c r="D28"/>
  <c r="V26"/>
  <c r="U26"/>
  <c r="T26"/>
  <c r="F26"/>
  <c r="E26"/>
  <c r="D26"/>
  <c r="V25"/>
  <c r="U25"/>
  <c r="T25"/>
  <c r="F25"/>
  <c r="E25"/>
  <c r="D25"/>
  <c r="V24"/>
  <c r="U24"/>
  <c r="T24"/>
  <c r="F24"/>
  <c r="E24"/>
  <c r="D24"/>
  <c r="V23"/>
  <c r="U23"/>
  <c r="T23"/>
  <c r="F23"/>
  <c r="E23"/>
  <c r="D23"/>
  <c r="AA21"/>
  <c r="V21"/>
  <c r="U21"/>
  <c r="T21"/>
  <c r="H21"/>
  <c r="F21"/>
  <c r="E21"/>
  <c r="D21"/>
  <c r="V20"/>
  <c r="U20"/>
  <c r="T20"/>
  <c r="F20"/>
  <c r="E20"/>
  <c r="D20"/>
  <c r="V19"/>
  <c r="U19"/>
  <c r="T19"/>
  <c r="F19"/>
  <c r="E19"/>
  <c r="D19"/>
  <c r="V18"/>
  <c r="U18"/>
  <c r="T18"/>
  <c r="F18"/>
  <c r="E18"/>
  <c r="D18"/>
  <c r="V17"/>
  <c r="U17"/>
  <c r="T17"/>
  <c r="F17"/>
  <c r="E17"/>
  <c r="D17"/>
  <c r="V15"/>
  <c r="U15"/>
  <c r="T15"/>
  <c r="F15"/>
  <c r="E15"/>
  <c r="D15"/>
  <c r="V14"/>
  <c r="U14"/>
  <c r="T14"/>
  <c r="F14"/>
  <c r="E14"/>
  <c r="D14"/>
  <c r="V13"/>
  <c r="U13"/>
  <c r="T13"/>
  <c r="F13"/>
  <c r="E13"/>
  <c r="D13"/>
  <c r="V11"/>
  <c r="U11"/>
  <c r="T11"/>
  <c r="F11"/>
  <c r="E11"/>
  <c r="D11"/>
  <c r="V10"/>
  <c r="U10"/>
  <c r="T10"/>
  <c r="F10"/>
  <c r="E10"/>
  <c r="D10"/>
  <c r="V9"/>
  <c r="U9"/>
  <c r="T9"/>
  <c r="F9"/>
  <c r="E9"/>
  <c r="D9"/>
  <c r="V8"/>
  <c r="U8"/>
  <c r="T8"/>
  <c r="F8"/>
  <c r="E8"/>
  <c r="D8"/>
  <c r="V7"/>
  <c r="U7"/>
  <c r="T7"/>
  <c r="F7"/>
  <c r="E7"/>
  <c r="D7"/>
  <c r="G191" i="10"/>
  <c r="F191"/>
  <c r="K182" s="1"/>
  <c r="E191"/>
  <c r="J182" s="1"/>
  <c r="D191"/>
  <c r="I187" s="1"/>
  <c r="W190"/>
  <c r="AK188"/>
  <c r="AK187"/>
  <c r="W181"/>
  <c r="W180"/>
  <c r="W179"/>
  <c r="Z178"/>
  <c r="Y178"/>
  <c r="X178"/>
  <c r="W170"/>
  <c r="W169"/>
  <c r="W168"/>
  <c r="J168"/>
  <c r="W163"/>
  <c r="AA162"/>
  <c r="H162"/>
  <c r="W160"/>
  <c r="W159"/>
  <c r="W155"/>
  <c r="W154"/>
  <c r="W153"/>
  <c r="G144"/>
  <c r="F144"/>
  <c r="K132" s="1"/>
  <c r="E144"/>
  <c r="D144"/>
  <c r="I132" s="1"/>
  <c r="W143"/>
  <c r="AK141"/>
  <c r="AK140"/>
  <c r="I140"/>
  <c r="W134"/>
  <c r="W133"/>
  <c r="W132"/>
  <c r="Z131"/>
  <c r="Y131"/>
  <c r="X131"/>
  <c r="W123"/>
  <c r="W122"/>
  <c r="W121"/>
  <c r="W116"/>
  <c r="AA115"/>
  <c r="H115"/>
  <c r="W113"/>
  <c r="W112"/>
  <c r="W108"/>
  <c r="W107"/>
  <c r="W106"/>
  <c r="G97"/>
  <c r="F97"/>
  <c r="K88" s="1"/>
  <c r="E97"/>
  <c r="D97"/>
  <c r="I63" s="1"/>
  <c r="W96"/>
  <c r="AK94"/>
  <c r="R94"/>
  <c r="AK93"/>
  <c r="R92"/>
  <c r="R91"/>
  <c r="R90"/>
  <c r="W87"/>
  <c r="AT86"/>
  <c r="W86"/>
  <c r="W85"/>
  <c r="I85"/>
  <c r="Z84"/>
  <c r="Y84"/>
  <c r="X84"/>
  <c r="W76"/>
  <c r="W75"/>
  <c r="W74"/>
  <c r="W69"/>
  <c r="AA68"/>
  <c r="H68"/>
  <c r="W66"/>
  <c r="W65"/>
  <c r="W61"/>
  <c r="W60"/>
  <c r="W59"/>
  <c r="G50"/>
  <c r="E50" s="1"/>
  <c r="F50"/>
  <c r="K37" s="1"/>
  <c r="D50"/>
  <c r="I41" s="1"/>
  <c r="W49"/>
  <c r="AK47"/>
  <c r="R47"/>
  <c r="AK46"/>
  <c r="AQ45"/>
  <c r="W45"/>
  <c r="G45"/>
  <c r="AQ44"/>
  <c r="W44"/>
  <c r="G44"/>
  <c r="AQ43"/>
  <c r="W43"/>
  <c r="G43"/>
  <c r="AQ42"/>
  <c r="W42"/>
  <c r="G42"/>
  <c r="W40"/>
  <c r="W39"/>
  <c r="W38"/>
  <c r="Z37"/>
  <c r="Y37"/>
  <c r="X37"/>
  <c r="W29"/>
  <c r="W28"/>
  <c r="W27"/>
  <c r="W24"/>
  <c r="W22"/>
  <c r="AA21"/>
  <c r="H21"/>
  <c r="W19"/>
  <c r="W18"/>
  <c r="W17"/>
  <c r="W16"/>
  <c r="W14"/>
  <c r="W13"/>
  <c r="W12"/>
  <c r="W11"/>
  <c r="W9"/>
  <c r="W8"/>
  <c r="W7"/>
  <c r="AD102" i="12" l="1"/>
  <c r="I74" i="10"/>
  <c r="W135" i="7"/>
  <c r="AE37" i="8"/>
  <c r="I69"/>
  <c r="AE121"/>
  <c r="I179"/>
  <c r="W88" i="7"/>
  <c r="J15" i="11"/>
  <c r="I85"/>
  <c r="K121"/>
  <c r="J153"/>
  <c r="J160"/>
  <c r="J179"/>
  <c r="J187"/>
  <c r="J12" i="1"/>
  <c r="K16"/>
  <c r="K19"/>
  <c r="J20"/>
  <c r="K27"/>
  <c r="J36"/>
  <c r="K39"/>
  <c r="K106"/>
  <c r="K130"/>
  <c r="J132"/>
  <c r="K133"/>
  <c r="J157"/>
  <c r="K161"/>
  <c r="K168"/>
  <c r="K179"/>
  <c r="J180"/>
  <c r="W182" i="7"/>
  <c r="K135" i="11"/>
  <c r="J155"/>
  <c r="J159"/>
  <c r="J167"/>
  <c r="J16" i="1"/>
  <c r="K18"/>
  <c r="J19"/>
  <c r="J27"/>
  <c r="K31"/>
  <c r="K38"/>
  <c r="I106"/>
  <c r="J111"/>
  <c r="K112"/>
  <c r="J113"/>
  <c r="K114"/>
  <c r="K125"/>
  <c r="K159"/>
  <c r="K160"/>
  <c r="J161"/>
  <c r="J168"/>
  <c r="K177"/>
  <c r="I12" i="10"/>
  <c r="I16"/>
  <c r="AC161" i="12"/>
  <c r="E50" i="7"/>
  <c r="J37" s="1"/>
  <c r="I12" i="11"/>
  <c r="I16"/>
  <c r="I37"/>
  <c r="K38"/>
  <c r="J61"/>
  <c r="I179" i="9"/>
  <c r="I182"/>
  <c r="K27" i="11"/>
  <c r="J65"/>
  <c r="J73"/>
  <c r="K38" i="10"/>
  <c r="K41"/>
  <c r="I46"/>
  <c r="J117" i="12"/>
  <c r="J155"/>
  <c r="AE74" i="8"/>
  <c r="I157"/>
  <c r="I178"/>
  <c r="I187"/>
  <c r="J64" i="11"/>
  <c r="J71"/>
  <c r="K110" i="9"/>
  <c r="K132"/>
  <c r="K153"/>
  <c r="I187"/>
  <c r="J86" i="11"/>
  <c r="I182" i="8"/>
  <c r="AE157"/>
  <c r="J59" i="11"/>
  <c r="J66"/>
  <c r="J87"/>
  <c r="I59" i="9"/>
  <c r="I63"/>
  <c r="I74"/>
  <c r="I93"/>
  <c r="I27" i="10"/>
  <c r="I37"/>
  <c r="I38"/>
  <c r="I153" i="8"/>
  <c r="I168"/>
  <c r="J60" i="11"/>
  <c r="J62"/>
  <c r="J67"/>
  <c r="J70"/>
  <c r="J84"/>
  <c r="J85"/>
  <c r="K16" i="10"/>
  <c r="K84"/>
  <c r="J109" i="12"/>
  <c r="I22" i="8"/>
  <c r="K12" i="11"/>
  <c r="K22"/>
  <c r="AC37"/>
  <c r="K46"/>
  <c r="I111" i="1"/>
  <c r="J153" i="9"/>
  <c r="K59" i="10"/>
  <c r="K85"/>
  <c r="AD152" i="12"/>
  <c r="I38" i="8"/>
  <c r="I59"/>
  <c r="I84"/>
  <c r="W41" i="7"/>
  <c r="AJ41" s="1"/>
  <c r="K64" i="1"/>
  <c r="K63" i="10"/>
  <c r="K153"/>
  <c r="K157"/>
  <c r="J113" i="12"/>
  <c r="I27" i="8"/>
  <c r="I116"/>
  <c r="K37" i="11"/>
  <c r="K41"/>
  <c r="I110" i="1"/>
  <c r="J168" i="9"/>
  <c r="J182"/>
  <c r="J84"/>
  <c r="I106" i="10"/>
  <c r="I110"/>
  <c r="I163"/>
  <c r="K168"/>
  <c r="I178"/>
  <c r="J106" i="12"/>
  <c r="J114"/>
  <c r="J118"/>
  <c r="J131"/>
  <c r="J156"/>
  <c r="J161"/>
  <c r="AC167"/>
  <c r="J180"/>
  <c r="I46" i="8"/>
  <c r="AE16"/>
  <c r="AE59"/>
  <c r="I85"/>
  <c r="I69" i="11"/>
  <c r="I132"/>
  <c r="I135"/>
  <c r="K153"/>
  <c r="K168"/>
  <c r="J106" i="1"/>
  <c r="J110"/>
  <c r="K111"/>
  <c r="J112"/>
  <c r="J125"/>
  <c r="K132"/>
  <c r="J133"/>
  <c r="K38" i="9"/>
  <c r="K41"/>
  <c r="J88"/>
  <c r="K121"/>
  <c r="I168"/>
  <c r="K187"/>
  <c r="K163" i="10"/>
  <c r="K178"/>
  <c r="K179"/>
  <c r="J107" i="12"/>
  <c r="J111"/>
  <c r="J133"/>
  <c r="J153"/>
  <c r="J158"/>
  <c r="J164"/>
  <c r="J178"/>
  <c r="J181"/>
  <c r="I63" i="8"/>
  <c r="I74"/>
  <c r="I88"/>
  <c r="I106"/>
  <c r="I106" i="11"/>
  <c r="I121" i="10"/>
  <c r="I131"/>
  <c r="I135"/>
  <c r="J108" i="12"/>
  <c r="J112"/>
  <c r="J120"/>
  <c r="J154"/>
  <c r="J159"/>
  <c r="J165"/>
  <c r="J179"/>
  <c r="I16" i="8"/>
  <c r="I37"/>
  <c r="K106" i="11"/>
  <c r="K110"/>
  <c r="K132"/>
  <c r="K113" i="1"/>
  <c r="J114"/>
  <c r="J121"/>
  <c r="K12" i="9"/>
  <c r="K16"/>
  <c r="K27"/>
  <c r="K37"/>
  <c r="J59"/>
  <c r="K116"/>
  <c r="K140"/>
  <c r="AD112" i="12"/>
  <c r="AD104"/>
  <c r="AD121"/>
  <c r="AD110"/>
  <c r="AD105"/>
  <c r="AD101"/>
  <c r="AD160"/>
  <c r="AD157"/>
  <c r="AD150"/>
  <c r="AD151"/>
  <c r="AD179"/>
  <c r="AC159"/>
  <c r="AC160"/>
  <c r="AC158"/>
  <c r="AC155"/>
  <c r="AC153"/>
  <c r="AC166"/>
  <c r="F144" i="7"/>
  <c r="K131" s="1"/>
  <c r="D144"/>
  <c r="E144"/>
  <c r="AD131" i="11"/>
  <c r="AC131"/>
  <c r="J86" i="1"/>
  <c r="K85"/>
  <c r="J78"/>
  <c r="K66"/>
  <c r="J64"/>
  <c r="J83"/>
  <c r="J67"/>
  <c r="J66"/>
  <c r="K63"/>
  <c r="J59"/>
  <c r="K86"/>
  <c r="J85"/>
  <c r="K83"/>
  <c r="J74"/>
  <c r="K67"/>
  <c r="K59"/>
  <c r="I41" i="9"/>
  <c r="I37"/>
  <c r="I12"/>
  <c r="I38"/>
  <c r="I27"/>
  <c r="I140"/>
  <c r="I121"/>
  <c r="I106"/>
  <c r="I135"/>
  <c r="I131"/>
  <c r="I116"/>
  <c r="I110"/>
  <c r="K121" i="10"/>
  <c r="K110"/>
  <c r="K131"/>
  <c r="AD103" i="12"/>
  <c r="AC164"/>
  <c r="AB131" i="11"/>
  <c r="J132" i="9"/>
  <c r="J106"/>
  <c r="J85" i="10"/>
  <c r="J88"/>
  <c r="J74"/>
  <c r="K106"/>
  <c r="K135"/>
  <c r="K131" i="12"/>
  <c r="K121"/>
  <c r="K110"/>
  <c r="K140"/>
  <c r="K132"/>
  <c r="AD148"/>
  <c r="AE12" i="8"/>
  <c r="I140"/>
  <c r="I131"/>
  <c r="I110"/>
  <c r="I135"/>
  <c r="I121"/>
  <c r="AE168"/>
  <c r="AE153"/>
  <c r="AE163"/>
  <c r="K27" i="10"/>
  <c r="K22"/>
  <c r="K12"/>
  <c r="K116"/>
  <c r="K106" i="12"/>
  <c r="AD113"/>
  <c r="K116"/>
  <c r="AC114"/>
  <c r="AC134"/>
  <c r="AD149"/>
  <c r="AC154"/>
  <c r="AC180"/>
  <c r="AC181"/>
  <c r="AE69" i="8"/>
  <c r="AE63"/>
  <c r="AE106"/>
  <c r="AE134"/>
  <c r="J46" i="11"/>
  <c r="J26"/>
  <c r="J19"/>
  <c r="I88"/>
  <c r="I59"/>
  <c r="I93"/>
  <c r="I74"/>
  <c r="I63"/>
  <c r="J140"/>
  <c r="J111"/>
  <c r="J120"/>
  <c r="I12" i="1"/>
  <c r="I16"/>
  <c r="J63"/>
  <c r="K74"/>
  <c r="I67"/>
  <c r="I63"/>
  <c r="I59"/>
  <c r="I74"/>
  <c r="I64"/>
  <c r="I16" i="9"/>
  <c r="I22"/>
  <c r="I132"/>
  <c r="I187" i="11"/>
  <c r="I182"/>
  <c r="K59" i="9"/>
  <c r="K84"/>
  <c r="K93"/>
  <c r="K69"/>
  <c r="K63"/>
  <c r="I88" i="10"/>
  <c r="I69"/>
  <c r="I93"/>
  <c r="I84"/>
  <c r="I59"/>
  <c r="AD159" i="12"/>
  <c r="I39" i="1"/>
  <c r="I36"/>
  <c r="I19"/>
  <c r="I17"/>
  <c r="K65"/>
  <c r="K85" i="9"/>
  <c r="I168" i="10"/>
  <c r="I179"/>
  <c r="I153"/>
  <c r="I182"/>
  <c r="I157"/>
  <c r="AD132" i="12"/>
  <c r="AC156"/>
  <c r="AE116" i="8"/>
  <c r="AE110"/>
  <c r="AD178" i="11"/>
  <c r="AC178"/>
  <c r="I20" i="1"/>
  <c r="I27"/>
  <c r="K88" i="9"/>
  <c r="K69" i="10"/>
  <c r="K74"/>
  <c r="I116"/>
  <c r="K168" i="12"/>
  <c r="K153"/>
  <c r="E50" i="13"/>
  <c r="J38" s="1"/>
  <c r="F50"/>
  <c r="AE40" i="8"/>
  <c r="AE87"/>
  <c r="AE181"/>
  <c r="F191" i="7"/>
  <c r="K178" s="1"/>
  <c r="E191"/>
  <c r="J168" s="1"/>
  <c r="I140" i="11"/>
  <c r="I121"/>
  <c r="I116"/>
  <c r="K182"/>
  <c r="K178"/>
  <c r="K163"/>
  <c r="K180" i="1"/>
  <c r="K172"/>
  <c r="J160"/>
  <c r="K157"/>
  <c r="J153"/>
  <c r="J93" i="9"/>
  <c r="J85"/>
  <c r="J74"/>
  <c r="K106"/>
  <c r="K131"/>
  <c r="J163"/>
  <c r="J178"/>
  <c r="J134" i="12"/>
  <c r="J140"/>
  <c r="AC108"/>
  <c r="D50" i="13"/>
  <c r="I12" s="1"/>
  <c r="AC84" i="11"/>
  <c r="AB84"/>
  <c r="I131"/>
  <c r="K157"/>
  <c r="K179"/>
  <c r="J187" i="9"/>
  <c r="J157"/>
  <c r="J37"/>
  <c r="J16"/>
  <c r="J38"/>
  <c r="I88"/>
  <c r="J135"/>
  <c r="K163"/>
  <c r="K178"/>
  <c r="K182"/>
  <c r="I84"/>
  <c r="J110"/>
  <c r="J131"/>
  <c r="K157"/>
  <c r="K168"/>
  <c r="J22"/>
  <c r="J46"/>
  <c r="J12"/>
  <c r="J27"/>
  <c r="I69"/>
  <c r="J116"/>
  <c r="I86" i="1"/>
  <c r="I85"/>
  <c r="I83"/>
  <c r="I78"/>
  <c r="I65"/>
  <c r="I133"/>
  <c r="I132"/>
  <c r="I130"/>
  <c r="I125"/>
  <c r="I112"/>
  <c r="I114"/>
  <c r="I121"/>
  <c r="I180"/>
  <c r="I179"/>
  <c r="I177"/>
  <c r="I172"/>
  <c r="I159"/>
  <c r="I161"/>
  <c r="I168"/>
  <c r="I158"/>
  <c r="I157"/>
  <c r="I153"/>
  <c r="J12" i="11"/>
  <c r="J14"/>
  <c r="J18"/>
  <c r="AD37"/>
  <c r="J38"/>
  <c r="J40"/>
  <c r="K59"/>
  <c r="K85"/>
  <c r="J108"/>
  <c r="J114"/>
  <c r="J133"/>
  <c r="I157"/>
  <c r="I163"/>
  <c r="J13"/>
  <c r="J17"/>
  <c r="J24"/>
  <c r="K63"/>
  <c r="K69"/>
  <c r="K74"/>
  <c r="J113"/>
  <c r="J117"/>
  <c r="J131"/>
  <c r="J134"/>
  <c r="I168"/>
  <c r="I178"/>
  <c r="J20"/>
  <c r="J37"/>
  <c r="J39"/>
  <c r="K84"/>
  <c r="K88"/>
  <c r="J106"/>
  <c r="J107"/>
  <c r="J109"/>
  <c r="J112"/>
  <c r="J118"/>
  <c r="I153"/>
  <c r="K135" i="7"/>
  <c r="K132"/>
  <c r="J22"/>
  <c r="K46"/>
  <c r="K12"/>
  <c r="K27"/>
  <c r="K16"/>
  <c r="K41"/>
  <c r="K38"/>
  <c r="K22"/>
  <c r="D97"/>
  <c r="F97"/>
  <c r="E97"/>
  <c r="K163"/>
  <c r="K182"/>
  <c r="D50"/>
  <c r="D191"/>
  <c r="AE22" i="8"/>
  <c r="AE27"/>
  <c r="AE38"/>
  <c r="AE85"/>
  <c r="AE132"/>
  <c r="AE179"/>
  <c r="J46" i="13"/>
  <c r="I187" i="12"/>
  <c r="I106"/>
  <c r="AC106"/>
  <c r="AC107"/>
  <c r="AC111"/>
  <c r="AC112"/>
  <c r="AB116"/>
  <c r="AB108" s="1"/>
  <c r="AC117"/>
  <c r="AC120"/>
  <c r="AC132"/>
  <c r="AC133"/>
  <c r="K157"/>
  <c r="K178"/>
  <c r="AC179"/>
  <c r="K182"/>
  <c r="K187"/>
  <c r="AC109"/>
  <c r="AC113"/>
  <c r="I116"/>
  <c r="I121"/>
  <c r="I153"/>
  <c r="AB163"/>
  <c r="AB179" s="1"/>
  <c r="I163"/>
  <c r="I168"/>
  <c r="I178"/>
  <c r="I132"/>
  <c r="I135"/>
  <c r="I157"/>
  <c r="I179"/>
  <c r="J132" i="10"/>
  <c r="J131"/>
  <c r="J110"/>
  <c r="J135"/>
  <c r="J116"/>
  <c r="J106"/>
  <c r="J121"/>
  <c r="I22"/>
  <c r="J59"/>
  <c r="J69"/>
  <c r="J157"/>
  <c r="J178"/>
  <c r="J179"/>
  <c r="J63"/>
  <c r="J84"/>
  <c r="J153"/>
  <c r="J163"/>
  <c r="K187" i="7" l="1"/>
  <c r="K179"/>
  <c r="K106"/>
  <c r="K110"/>
  <c r="J178"/>
  <c r="J16"/>
  <c r="J38"/>
  <c r="J12"/>
  <c r="J179"/>
  <c r="J27"/>
  <c r="J41"/>
  <c r="AB107" i="12"/>
  <c r="J40" i="13"/>
  <c r="I22"/>
  <c r="AB155" i="12"/>
  <c r="AB121"/>
  <c r="I27" i="13"/>
  <c r="J39"/>
  <c r="J24"/>
  <c r="J20"/>
  <c r="J13"/>
  <c r="I41"/>
  <c r="J26"/>
  <c r="J15"/>
  <c r="I16"/>
  <c r="J23"/>
  <c r="J19"/>
  <c r="J14"/>
  <c r="J17"/>
  <c r="I37"/>
  <c r="J37"/>
  <c r="J12"/>
  <c r="J18"/>
  <c r="K12"/>
  <c r="K41"/>
  <c r="K16"/>
  <c r="K27"/>
  <c r="K38"/>
  <c r="K22"/>
  <c r="K37"/>
  <c r="K168" i="7"/>
  <c r="K153"/>
  <c r="K116"/>
  <c r="K121"/>
  <c r="J132"/>
  <c r="J121"/>
  <c r="J106"/>
  <c r="J131"/>
  <c r="J110"/>
  <c r="J116"/>
  <c r="J135"/>
  <c r="J182"/>
  <c r="J153"/>
  <c r="J163"/>
  <c r="I134"/>
  <c r="I131"/>
  <c r="I115"/>
  <c r="I112"/>
  <c r="I110"/>
  <c r="I121"/>
  <c r="I113"/>
  <c r="I106"/>
  <c r="I140"/>
  <c r="I111"/>
  <c r="I114"/>
  <c r="I132"/>
  <c r="K46" i="13"/>
  <c r="I133" i="7"/>
  <c r="J157"/>
  <c r="K157"/>
  <c r="K140"/>
  <c r="I46" i="13"/>
  <c r="I38"/>
  <c r="K63" i="7"/>
  <c r="K93"/>
  <c r="K69"/>
  <c r="K59"/>
  <c r="K84"/>
  <c r="K74"/>
  <c r="K85"/>
  <c r="K88"/>
  <c r="I161"/>
  <c r="I158"/>
  <c r="I157"/>
  <c r="I187"/>
  <c r="I162"/>
  <c r="I160"/>
  <c r="I153"/>
  <c r="I181"/>
  <c r="I180"/>
  <c r="I178"/>
  <c r="I159"/>
  <c r="I179"/>
  <c r="I168"/>
  <c r="I68"/>
  <c r="I66"/>
  <c r="I59"/>
  <c r="I67"/>
  <c r="I64"/>
  <c r="I63"/>
  <c r="I93"/>
  <c r="I85"/>
  <c r="I74"/>
  <c r="I86"/>
  <c r="I84"/>
  <c r="I87"/>
  <c r="I65"/>
  <c r="I27"/>
  <c r="I20"/>
  <c r="I17"/>
  <c r="I16"/>
  <c r="I21"/>
  <c r="I19"/>
  <c r="I12"/>
  <c r="I40"/>
  <c r="I39"/>
  <c r="I37"/>
  <c r="I18"/>
  <c r="I46"/>
  <c r="I38"/>
  <c r="J84"/>
  <c r="J88"/>
  <c r="J85"/>
  <c r="J74"/>
  <c r="J69"/>
  <c r="J59"/>
  <c r="J63"/>
  <c r="AB168" i="12"/>
  <c r="AB154"/>
  <c r="AB132"/>
  <c r="E32" i="17" l="1"/>
  <c r="B30"/>
  <c r="E31"/>
  <c r="P73" i="14" l="1"/>
  <c r="P74"/>
  <c r="P78"/>
  <c r="P81"/>
  <c r="AY159" i="8" l="1"/>
  <c r="AY112"/>
  <c r="AY65"/>
  <c r="AY18"/>
  <c r="AZ160"/>
  <c r="AZ113"/>
  <c r="AZ66"/>
  <c r="AZ19"/>
  <c r="AJ68" i="7" l="1"/>
  <c r="AK68" s="1"/>
  <c r="AJ115"/>
  <c r="AK115" s="1"/>
  <c r="AJ162"/>
  <c r="AK162" s="1"/>
  <c r="W22" l="1"/>
  <c r="M93" i="14" l="1"/>
  <c r="M94"/>
  <c r="M95"/>
  <c r="M96"/>
  <c r="M97"/>
  <c r="N92"/>
  <c r="O92"/>
  <c r="P92"/>
  <c r="Q92"/>
  <c r="D140" l="1"/>
  <c r="D142"/>
  <c r="D141"/>
  <c r="J50" i="17"/>
  <c r="F50"/>
  <c r="B50"/>
  <c r="AZ185" i="8"/>
  <c r="AZ138"/>
  <c r="AZ91"/>
  <c r="AZ44"/>
  <c r="AA50" i="13"/>
  <c r="E51" i="17" l="1"/>
  <c r="F30"/>
  <c r="C50"/>
  <c r="G50"/>
  <c r="E30"/>
  <c r="C30"/>
  <c r="G30"/>
  <c r="D50"/>
  <c r="H50"/>
  <c r="I30"/>
  <c r="D30"/>
  <c r="H30"/>
  <c r="E50"/>
  <c r="I50"/>
  <c r="J51"/>
  <c r="U50" i="13"/>
  <c r="AB27"/>
  <c r="AB13"/>
  <c r="T50"/>
  <c r="AZ93" i="8"/>
  <c r="BB93" s="1"/>
  <c r="BB91"/>
  <c r="AZ46"/>
  <c r="BB46" s="1"/>
  <c r="BB44"/>
  <c r="AZ187"/>
  <c r="BB187" s="1"/>
  <c r="BB185"/>
  <c r="AZ140"/>
  <c r="BB140" s="1"/>
  <c r="BB138"/>
  <c r="I135" i="7" l="1"/>
  <c r="I41"/>
  <c r="I88"/>
  <c r="I163"/>
  <c r="I69"/>
  <c r="I116"/>
  <c r="I182"/>
  <c r="I22"/>
  <c r="AJ162" i="9"/>
  <c r="AK162" s="1"/>
  <c r="AJ115"/>
  <c r="AK115" s="1"/>
  <c r="AJ68"/>
  <c r="AK68" s="1"/>
  <c r="AJ21"/>
  <c r="AK21" l="1"/>
  <c r="I50" i="7"/>
  <c r="I191"/>
  <c r="AY3" i="9"/>
  <c r="AG3"/>
  <c r="N3"/>
  <c r="AY3" i="1"/>
  <c r="AG3"/>
  <c r="N3"/>
  <c r="AY3" i="11"/>
  <c r="AG3"/>
  <c r="N3"/>
  <c r="AY3" i="7"/>
  <c r="AG3"/>
  <c r="N3"/>
  <c r="AY3" i="8"/>
  <c r="AG3"/>
  <c r="N3"/>
  <c r="AY3" i="13"/>
  <c r="AG3"/>
  <c r="N3"/>
  <c r="AY3" i="12"/>
  <c r="AG3"/>
  <c r="N3"/>
  <c r="AY3" i="10"/>
  <c r="AG3"/>
  <c r="N3"/>
  <c r="AJ47" i="8" l="1"/>
  <c r="AK47" s="1"/>
  <c r="AG18"/>
  <c r="AJ18" s="1"/>
  <c r="AK18" s="1"/>
  <c r="I21"/>
  <c r="L47"/>
  <c r="Q47" s="1"/>
  <c r="R47" s="1"/>
  <c r="L45"/>
  <c r="K43"/>
  <c r="AH44"/>
  <c r="AJ44" s="1"/>
  <c r="AK44" s="1"/>
  <c r="J44"/>
  <c r="BJ31"/>
  <c r="BJ30"/>
  <c r="BJ28"/>
  <c r="BJ27"/>
  <c r="BJ24"/>
  <c r="BJ23"/>
  <c r="AJ16" l="1"/>
  <c r="AK16" s="1"/>
  <c r="AJ27"/>
  <c r="AK27" s="1"/>
  <c r="AJ12"/>
  <c r="AK12" s="1"/>
  <c r="AJ22"/>
  <c r="AK22" s="1"/>
  <c r="AJ37"/>
  <c r="AK37" s="1"/>
  <c r="AJ40"/>
  <c r="AK40" s="1"/>
  <c r="AJ38"/>
  <c r="AK38" s="1"/>
  <c r="J45"/>
  <c r="O45" s="1"/>
  <c r="Q45" s="1"/>
  <c r="O44"/>
  <c r="Q44" s="1"/>
  <c r="L44"/>
  <c r="AJ46"/>
  <c r="AK46" s="1"/>
  <c r="BI31"/>
  <c r="K46"/>
  <c r="P43"/>
  <c r="Q43" s="1"/>
  <c r="L43"/>
  <c r="BH31"/>
  <c r="P46" l="1"/>
  <c r="K38"/>
  <c r="K27"/>
  <c r="K16"/>
  <c r="K22"/>
  <c r="K12"/>
  <c r="K37"/>
  <c r="K41"/>
  <c r="BI28"/>
  <c r="AJ41"/>
  <c r="AK41" s="1"/>
  <c r="BI26"/>
  <c r="J46"/>
  <c r="BI27"/>
  <c r="BI24"/>
  <c r="BI25"/>
  <c r="BW138" s="1"/>
  <c r="BI23"/>
  <c r="BL31"/>
  <c r="BK31" s="1"/>
  <c r="BI30"/>
  <c r="O46" l="1"/>
  <c r="J38"/>
  <c r="O38" s="1"/>
  <c r="J20"/>
  <c r="J19"/>
  <c r="J14"/>
  <c r="J39"/>
  <c r="J37"/>
  <c r="O37" s="1"/>
  <c r="J23"/>
  <c r="J15"/>
  <c r="J26"/>
  <c r="J18"/>
  <c r="J40"/>
  <c r="J24"/>
  <c r="J13"/>
  <c r="J17"/>
  <c r="J12"/>
  <c r="O12" s="1"/>
  <c r="AK50"/>
  <c r="BL11" s="1"/>
  <c r="BY91" s="1"/>
  <c r="BI29"/>
  <c r="AJ50"/>
  <c r="AG50" s="1"/>
  <c r="BH11" s="1"/>
  <c r="AJ51" l="1"/>
  <c r="BM11" s="1"/>
  <c r="BK11"/>
  <c r="BY114" s="1"/>
  <c r="AI50"/>
  <c r="BJ11" s="1"/>
  <c r="AH50"/>
  <c r="BI11" s="1"/>
  <c r="J22"/>
  <c r="J27"/>
  <c r="J16"/>
  <c r="O16" s="1"/>
  <c r="J41"/>
  <c r="AK51"/>
  <c r="BN11" s="1"/>
  <c r="BK17" l="1"/>
  <c r="J50"/>
  <c r="D5" i="17" l="1"/>
  <c r="C56" s="1"/>
  <c r="D56" s="1"/>
  <c r="D6"/>
  <c r="C57" s="1"/>
  <c r="D57" s="1"/>
  <c r="D7"/>
  <c r="C58" s="1"/>
  <c r="D58" s="1"/>
  <c r="D8"/>
  <c r="C59" s="1"/>
  <c r="D59" s="1"/>
  <c r="D9"/>
  <c r="C60" s="1"/>
  <c r="D60" s="1"/>
  <c r="D10"/>
  <c r="C61" s="1"/>
  <c r="D61" s="1"/>
  <c r="D11"/>
  <c r="C62" s="1"/>
  <c r="D62" s="1"/>
  <c r="D4" l="1"/>
  <c r="C55" s="1"/>
  <c r="D55" s="1"/>
  <c r="J23"/>
  <c r="J28"/>
  <c r="J26"/>
  <c r="J29"/>
  <c r="J25"/>
  <c r="J27"/>
  <c r="J24"/>
  <c r="J30" l="1"/>
  <c r="AG17" i="1"/>
  <c r="AH17"/>
  <c r="AI17"/>
  <c r="AG18"/>
  <c r="AH18"/>
  <c r="AI18"/>
  <c r="AG19"/>
  <c r="AH19"/>
  <c r="AI19"/>
  <c r="AG20"/>
  <c r="AH20"/>
  <c r="AI20"/>
  <c r="AG21"/>
  <c r="AJ21" s="1"/>
  <c r="AJ17" i="7"/>
  <c r="AJ22"/>
  <c r="BI25" s="1"/>
  <c r="BW93" s="1"/>
  <c r="AB21" i="13"/>
  <c r="AG21" s="1"/>
  <c r="AG17" i="12"/>
  <c r="AH17"/>
  <c r="AI17"/>
  <c r="AG18"/>
  <c r="AH18"/>
  <c r="AI18"/>
  <c r="AG19"/>
  <c r="AH19"/>
  <c r="AI19"/>
  <c r="AG20"/>
  <c r="AH20"/>
  <c r="AI20"/>
  <c r="AG21"/>
  <c r="AH21"/>
  <c r="AI21"/>
  <c r="AJ17" i="10"/>
  <c r="AJ18"/>
  <c r="AJ19"/>
  <c r="AJ21"/>
  <c r="J45" i="7"/>
  <c r="J91" i="8"/>
  <c r="O91" s="1"/>
  <c r="Q91" s="1"/>
  <c r="J92"/>
  <c r="O92" s="1"/>
  <c r="Q92" s="1"/>
  <c r="K90"/>
  <c r="I17" i="12"/>
  <c r="J17"/>
  <c r="K17"/>
  <c r="I18"/>
  <c r="J18"/>
  <c r="K18"/>
  <c r="I19"/>
  <c r="J19"/>
  <c r="K19"/>
  <c r="I20"/>
  <c r="J20"/>
  <c r="K20"/>
  <c r="I21"/>
  <c r="J21"/>
  <c r="K21"/>
  <c r="I23"/>
  <c r="J23"/>
  <c r="K23"/>
  <c r="I24"/>
  <c r="J24"/>
  <c r="K24"/>
  <c r="I25"/>
  <c r="J25"/>
  <c r="K25"/>
  <c r="I26"/>
  <c r="J26"/>
  <c r="K26"/>
  <c r="I39"/>
  <c r="J39"/>
  <c r="K39"/>
  <c r="I40"/>
  <c r="J40"/>
  <c r="K40"/>
  <c r="AG23" i="1"/>
  <c r="AH23"/>
  <c r="AI23"/>
  <c r="AG24"/>
  <c r="AH24"/>
  <c r="AI24"/>
  <c r="AG25"/>
  <c r="AH25"/>
  <c r="AI25"/>
  <c r="AG26"/>
  <c r="AH26"/>
  <c r="AI26"/>
  <c r="AB27" i="11"/>
  <c r="AG27" s="1"/>
  <c r="AB38"/>
  <c r="AG38" s="1"/>
  <c r="AB13"/>
  <c r="AB14"/>
  <c r="AJ23" i="7"/>
  <c r="AK23" s="1"/>
  <c r="AJ24"/>
  <c r="AK24" s="1"/>
  <c r="AJ25"/>
  <c r="AK25" s="1"/>
  <c r="AJ26"/>
  <c r="AK26" s="1"/>
  <c r="AC23" i="13"/>
  <c r="AH23" s="1"/>
  <c r="AH27" s="1"/>
  <c r="AG23" i="12"/>
  <c r="AH23"/>
  <c r="AI23"/>
  <c r="AG24"/>
  <c r="AH24"/>
  <c r="AI24"/>
  <c r="AG25"/>
  <c r="AH25"/>
  <c r="AI25"/>
  <c r="AG26"/>
  <c r="AH26"/>
  <c r="AI26"/>
  <c r="AJ27" i="10"/>
  <c r="AB132" i="11"/>
  <c r="AB121"/>
  <c r="AG121" s="1"/>
  <c r="AG111" i="1"/>
  <c r="AG112"/>
  <c r="AG113"/>
  <c r="AG114"/>
  <c r="AG115"/>
  <c r="AJ115" s="1"/>
  <c r="AK115" s="1"/>
  <c r="AH111"/>
  <c r="AH112"/>
  <c r="AH113"/>
  <c r="AH114"/>
  <c r="AB107" i="11"/>
  <c r="AB108"/>
  <c r="AB85"/>
  <c r="AG84"/>
  <c r="AB74"/>
  <c r="AG74" s="1"/>
  <c r="AG64" i="1"/>
  <c r="AG65"/>
  <c r="AG66"/>
  <c r="AG67"/>
  <c r="AG68"/>
  <c r="AJ68" s="1"/>
  <c r="AK68" s="1"/>
  <c r="AH64"/>
  <c r="AH65"/>
  <c r="AH66"/>
  <c r="AH67"/>
  <c r="AB60" i="11"/>
  <c r="AB61"/>
  <c r="AH84"/>
  <c r="AI132"/>
  <c r="AH131"/>
  <c r="AB179"/>
  <c r="AG179" s="1"/>
  <c r="AB168"/>
  <c r="AG158" i="1"/>
  <c r="AG159"/>
  <c r="AG160"/>
  <c r="AG161"/>
  <c r="AG162"/>
  <c r="AJ162" s="1"/>
  <c r="AK162" s="1"/>
  <c r="AH158"/>
  <c r="AH159"/>
  <c r="AH160"/>
  <c r="AH161"/>
  <c r="AB154" i="11"/>
  <c r="AB155"/>
  <c r="AI179"/>
  <c r="AI178"/>
  <c r="AI85"/>
  <c r="AI84"/>
  <c r="AI38"/>
  <c r="AI37"/>
  <c r="AJ188"/>
  <c r="AI187"/>
  <c r="AH187"/>
  <c r="AG187"/>
  <c r="AJ187" s="1"/>
  <c r="AI182"/>
  <c r="AG182"/>
  <c r="AI168"/>
  <c r="AH168"/>
  <c r="AI163"/>
  <c r="AI157"/>
  <c r="AI153"/>
  <c r="AG153"/>
  <c r="AJ141"/>
  <c r="AI140"/>
  <c r="AH140"/>
  <c r="AG140"/>
  <c r="AI135"/>
  <c r="AG135"/>
  <c r="AI121"/>
  <c r="AI116"/>
  <c r="AI110"/>
  <c r="AI106"/>
  <c r="AG106"/>
  <c r="AE187"/>
  <c r="AE140"/>
  <c r="AD63"/>
  <c r="AI63" s="1"/>
  <c r="AJ94"/>
  <c r="AI93"/>
  <c r="AH93"/>
  <c r="AG93"/>
  <c r="AI88"/>
  <c r="AG88"/>
  <c r="AI74"/>
  <c r="AI69"/>
  <c r="AI59"/>
  <c r="AG59"/>
  <c r="A95" i="14"/>
  <c r="A94"/>
  <c r="A93"/>
  <c r="A92"/>
  <c r="A91"/>
  <c r="A90"/>
  <c r="A89"/>
  <c r="A88"/>
  <c r="A87"/>
  <c r="J86"/>
  <c r="I86"/>
  <c r="H86"/>
  <c r="G86"/>
  <c r="F86"/>
  <c r="E86"/>
  <c r="D86"/>
  <c r="C86"/>
  <c r="B86"/>
  <c r="F85"/>
  <c r="B85"/>
  <c r="B72"/>
  <c r="F72"/>
  <c r="B73"/>
  <c r="C73"/>
  <c r="D73"/>
  <c r="E73"/>
  <c r="F73"/>
  <c r="G73"/>
  <c r="H73"/>
  <c r="I73"/>
  <c r="J73"/>
  <c r="B98"/>
  <c r="F98"/>
  <c r="B99"/>
  <c r="C99"/>
  <c r="D99"/>
  <c r="E99"/>
  <c r="F99"/>
  <c r="G99"/>
  <c r="H99"/>
  <c r="I99"/>
  <c r="J99"/>
  <c r="F108"/>
  <c r="G108"/>
  <c r="H108"/>
  <c r="I108"/>
  <c r="B111"/>
  <c r="F111"/>
  <c r="B112"/>
  <c r="C112"/>
  <c r="D112"/>
  <c r="E112"/>
  <c r="F112"/>
  <c r="G112"/>
  <c r="H112"/>
  <c r="I112"/>
  <c r="J112"/>
  <c r="F121"/>
  <c r="G121"/>
  <c r="H121"/>
  <c r="I121"/>
  <c r="B124"/>
  <c r="F124"/>
  <c r="B125"/>
  <c r="C125"/>
  <c r="D125"/>
  <c r="E125"/>
  <c r="F125"/>
  <c r="G125"/>
  <c r="H125"/>
  <c r="I125"/>
  <c r="J125"/>
  <c r="F134"/>
  <c r="G134"/>
  <c r="H134"/>
  <c r="I134"/>
  <c r="A74"/>
  <c r="A75"/>
  <c r="A76"/>
  <c r="A77"/>
  <c r="A78"/>
  <c r="A79"/>
  <c r="A80"/>
  <c r="A81"/>
  <c r="A82"/>
  <c r="A97"/>
  <c r="A100"/>
  <c r="A101"/>
  <c r="A102"/>
  <c r="A103"/>
  <c r="A104"/>
  <c r="A105"/>
  <c r="A106"/>
  <c r="A107"/>
  <c r="A108"/>
  <c r="A110"/>
  <c r="A113"/>
  <c r="A114"/>
  <c r="A115"/>
  <c r="A116"/>
  <c r="A117"/>
  <c r="A118"/>
  <c r="A119"/>
  <c r="A120"/>
  <c r="A121"/>
  <c r="A123"/>
  <c r="A126"/>
  <c r="A127"/>
  <c r="A128"/>
  <c r="A129"/>
  <c r="A130"/>
  <c r="A131"/>
  <c r="A132"/>
  <c r="A133"/>
  <c r="A134"/>
  <c r="A71"/>
  <c r="P191" i="11"/>
  <c r="BJ151" s="1"/>
  <c r="O191"/>
  <c r="BI151" s="1"/>
  <c r="N191"/>
  <c r="P144"/>
  <c r="O144"/>
  <c r="BI104" s="1"/>
  <c r="N144"/>
  <c r="BH104" s="1"/>
  <c r="P97"/>
  <c r="BJ57" s="1"/>
  <c r="O97"/>
  <c r="BI57" s="1"/>
  <c r="N97"/>
  <c r="BH57" s="1"/>
  <c r="BJ152" i="13"/>
  <c r="BH152"/>
  <c r="BI105"/>
  <c r="BH105"/>
  <c r="AI50"/>
  <c r="BJ11" s="1"/>
  <c r="D149" i="14" s="1"/>
  <c r="D186" s="1"/>
  <c r="BI57" i="13"/>
  <c r="BH57"/>
  <c r="AJ159" i="7"/>
  <c r="AK159" s="1"/>
  <c r="AJ160"/>
  <c r="AK160" s="1"/>
  <c r="AJ158"/>
  <c r="AK158" s="1"/>
  <c r="AJ112"/>
  <c r="AK112" s="1"/>
  <c r="AJ113"/>
  <c r="AK113" s="1"/>
  <c r="AJ111"/>
  <c r="AK111" s="1"/>
  <c r="AJ65"/>
  <c r="AK65" s="1"/>
  <c r="AJ66"/>
  <c r="AK66" s="1"/>
  <c r="BJ31" i="10"/>
  <c r="AD168" i="12"/>
  <c r="AB162"/>
  <c r="AB115"/>
  <c r="Q141"/>
  <c r="R141" s="1"/>
  <c r="AH7"/>
  <c r="AI7"/>
  <c r="AH8"/>
  <c r="AI8"/>
  <c r="AH9"/>
  <c r="AI9"/>
  <c r="AH10"/>
  <c r="AI10"/>
  <c r="AH11"/>
  <c r="AI11"/>
  <c r="U12"/>
  <c r="AH12" s="1"/>
  <c r="AH13"/>
  <c r="AI13"/>
  <c r="AH14"/>
  <c r="AI14"/>
  <c r="AH15"/>
  <c r="AI15"/>
  <c r="AH28"/>
  <c r="AI28"/>
  <c r="AH29"/>
  <c r="AI29"/>
  <c r="AH30"/>
  <c r="AI30"/>
  <c r="U31"/>
  <c r="AH31" s="1"/>
  <c r="V31"/>
  <c r="AI31" s="1"/>
  <c r="AH35"/>
  <c r="AI35"/>
  <c r="U36"/>
  <c r="AH36" s="1"/>
  <c r="V36"/>
  <c r="AI36" s="1"/>
  <c r="AH38"/>
  <c r="AI38"/>
  <c r="AH39"/>
  <c r="AI39"/>
  <c r="AH40"/>
  <c r="AI40"/>
  <c r="U41"/>
  <c r="AH41" s="1"/>
  <c r="V41"/>
  <c r="AI41" s="1"/>
  <c r="AH43"/>
  <c r="AI43"/>
  <c r="AH44"/>
  <c r="AI44"/>
  <c r="AH45"/>
  <c r="AI45"/>
  <c r="U46"/>
  <c r="AH46" s="1"/>
  <c r="V46"/>
  <c r="AI46" s="1"/>
  <c r="AH49"/>
  <c r="AI49"/>
  <c r="AG49"/>
  <c r="AG13"/>
  <c r="AG14"/>
  <c r="AG15"/>
  <c r="AG28"/>
  <c r="AG29"/>
  <c r="AG30"/>
  <c r="T36"/>
  <c r="AG36" s="1"/>
  <c r="AG38"/>
  <c r="AG39"/>
  <c r="AG40"/>
  <c r="AG43"/>
  <c r="AG44"/>
  <c r="AG45"/>
  <c r="AG8"/>
  <c r="AG9"/>
  <c r="AG10"/>
  <c r="AG11"/>
  <c r="AG7"/>
  <c r="O49"/>
  <c r="N49"/>
  <c r="N43"/>
  <c r="J43"/>
  <c r="N44"/>
  <c r="O44"/>
  <c r="P44"/>
  <c r="J45"/>
  <c r="P45"/>
  <c r="P42"/>
  <c r="I42"/>
  <c r="O38"/>
  <c r="K38"/>
  <c r="J35"/>
  <c r="P35"/>
  <c r="D36"/>
  <c r="K30"/>
  <c r="J30"/>
  <c r="P29"/>
  <c r="O29"/>
  <c r="N29"/>
  <c r="K28"/>
  <c r="J28"/>
  <c r="I28"/>
  <c r="P15"/>
  <c r="O15"/>
  <c r="N15"/>
  <c r="P14"/>
  <c r="J14"/>
  <c r="N14"/>
  <c r="P13"/>
  <c r="J13"/>
  <c r="N13"/>
  <c r="N8"/>
  <c r="J8"/>
  <c r="K8"/>
  <c r="N9"/>
  <c r="O9"/>
  <c r="P9"/>
  <c r="J10"/>
  <c r="P10"/>
  <c r="N11"/>
  <c r="O11"/>
  <c r="P11"/>
  <c r="O7"/>
  <c r="P7"/>
  <c r="I7"/>
  <c r="AJ188" i="10"/>
  <c r="AJ187"/>
  <c r="AJ141"/>
  <c r="AJ140"/>
  <c r="AZ134" i="1"/>
  <c r="BB134" s="1"/>
  <c r="AP181"/>
  <c r="BJ31"/>
  <c r="BJ30"/>
  <c r="BJ28"/>
  <c r="BJ24"/>
  <c r="BJ23"/>
  <c r="AI46" i="11"/>
  <c r="AH46"/>
  <c r="AG46"/>
  <c r="AJ46" s="1"/>
  <c r="AI41"/>
  <c r="AG41"/>
  <c r="AI27"/>
  <c r="AI22"/>
  <c r="AI12"/>
  <c r="AG12"/>
  <c r="AD16"/>
  <c r="AI16" s="1"/>
  <c r="AE46"/>
  <c r="AJ46" i="13"/>
  <c r="AJ41"/>
  <c r="K11" i="12"/>
  <c r="I9"/>
  <c r="O14"/>
  <c r="F36"/>
  <c r="K36" s="1"/>
  <c r="AG35"/>
  <c r="K29"/>
  <c r="K42"/>
  <c r="E36"/>
  <c r="J36" s="1"/>
  <c r="Q94" i="10"/>
  <c r="AG162" i="8"/>
  <c r="AJ162" s="1"/>
  <c r="AK162" s="1"/>
  <c r="AG115"/>
  <c r="AJ115" s="1"/>
  <c r="AK115" s="1"/>
  <c r="AG68"/>
  <c r="AJ68" s="1"/>
  <c r="AZ180" i="7"/>
  <c r="AZ178"/>
  <c r="AZ160"/>
  <c r="AZ133"/>
  <c r="AZ131"/>
  <c r="BB131" s="1"/>
  <c r="BC131" s="1"/>
  <c r="AZ113"/>
  <c r="AZ86"/>
  <c r="AZ84"/>
  <c r="BB84" s="1"/>
  <c r="BC84" s="1"/>
  <c r="AZ66"/>
  <c r="AZ19"/>
  <c r="AZ39"/>
  <c r="AZ37"/>
  <c r="BB37" s="1"/>
  <c r="BC37" s="1"/>
  <c r="AZ87" i="1"/>
  <c r="AZ40"/>
  <c r="AB29" i="13"/>
  <c r="AB28"/>
  <c r="AB14"/>
  <c r="AG14" s="1"/>
  <c r="AC13"/>
  <c r="AH13" s="1"/>
  <c r="AC14"/>
  <c r="AH14" s="1"/>
  <c r="AB21" i="11"/>
  <c r="AB68"/>
  <c r="AB115"/>
  <c r="N38" i="1"/>
  <c r="AD131" i="12"/>
  <c r="AD178"/>
  <c r="AC178"/>
  <c r="AB178"/>
  <c r="AC131"/>
  <c r="AB131"/>
  <c r="AJ42" i="9"/>
  <c r="AJ43"/>
  <c r="AJ44"/>
  <c r="AJ45"/>
  <c r="AJ11"/>
  <c r="AJ42" i="7"/>
  <c r="AJ43"/>
  <c r="AJ44"/>
  <c r="AJ45"/>
  <c r="AJ39"/>
  <c r="AK39" s="1"/>
  <c r="AJ40"/>
  <c r="AK40" s="1"/>
  <c r="AJ38"/>
  <c r="AK38" s="1"/>
  <c r="AJ28"/>
  <c r="AK28" s="1"/>
  <c r="AJ29"/>
  <c r="AK29" s="1"/>
  <c r="AJ30"/>
  <c r="AK30" s="1"/>
  <c r="AJ32"/>
  <c r="AK32" s="1"/>
  <c r="AJ33"/>
  <c r="AK33" s="1"/>
  <c r="AJ34"/>
  <c r="AK34" s="1"/>
  <c r="AJ35"/>
  <c r="AK35" s="1"/>
  <c r="AJ19"/>
  <c r="AJ20"/>
  <c r="AK20" s="1"/>
  <c r="AJ21"/>
  <c r="AJ15"/>
  <c r="AK15" s="1"/>
  <c r="AJ8"/>
  <c r="AK8" s="1"/>
  <c r="AJ9"/>
  <c r="AK9" s="1"/>
  <c r="AJ10"/>
  <c r="AK10" s="1"/>
  <c r="AJ11"/>
  <c r="AK11" s="1"/>
  <c r="AJ47"/>
  <c r="AK47" s="1"/>
  <c r="AH91" i="8"/>
  <c r="AJ91" s="1"/>
  <c r="AK91" s="1"/>
  <c r="AJ94"/>
  <c r="AK94" s="1"/>
  <c r="AJ43" i="10"/>
  <c r="AK43" s="1"/>
  <c r="AJ44"/>
  <c r="AK44" s="1"/>
  <c r="AJ45"/>
  <c r="AK45" s="1"/>
  <c r="AJ188" i="12"/>
  <c r="AK188" s="1"/>
  <c r="Q47" i="13"/>
  <c r="R47" s="1"/>
  <c r="AJ141" i="12"/>
  <c r="AK141" s="1"/>
  <c r="N21" i="13"/>
  <c r="BI170"/>
  <c r="BJ172"/>
  <c r="BJ171"/>
  <c r="BJ169"/>
  <c r="BJ168"/>
  <c r="BJ165"/>
  <c r="BJ164"/>
  <c r="BI124"/>
  <c r="BI119"/>
  <c r="BJ125"/>
  <c r="BJ124"/>
  <c r="BI123"/>
  <c r="BI122"/>
  <c r="BJ122"/>
  <c r="BJ121"/>
  <c r="BJ118"/>
  <c r="BJ117"/>
  <c r="BI77"/>
  <c r="BI72"/>
  <c r="BJ78"/>
  <c r="BJ77"/>
  <c r="BI76"/>
  <c r="BI75"/>
  <c r="BJ75"/>
  <c r="BJ74"/>
  <c r="BJ71"/>
  <c r="BJ70"/>
  <c r="AJ12"/>
  <c r="AJ47"/>
  <c r="BJ31"/>
  <c r="BJ30"/>
  <c r="BJ28"/>
  <c r="BJ27"/>
  <c r="BJ24"/>
  <c r="BJ23"/>
  <c r="AG178" i="1"/>
  <c r="AH178"/>
  <c r="AI178"/>
  <c r="AG131"/>
  <c r="AH131"/>
  <c r="AI131"/>
  <c r="AG71"/>
  <c r="AG84"/>
  <c r="AH84"/>
  <c r="AI84"/>
  <c r="AJ47" i="9"/>
  <c r="AK47" s="1"/>
  <c r="AJ94"/>
  <c r="AK94" s="1"/>
  <c r="AJ141"/>
  <c r="AK141" s="1"/>
  <c r="AJ188"/>
  <c r="AK188" s="1"/>
  <c r="Q188"/>
  <c r="R188" s="1"/>
  <c r="Q141"/>
  <c r="R141" s="1"/>
  <c r="Q94"/>
  <c r="R94" s="1"/>
  <c r="Q47"/>
  <c r="R47" s="1"/>
  <c r="AJ47" i="1"/>
  <c r="AK47" s="1"/>
  <c r="AJ94"/>
  <c r="AK94" s="1"/>
  <c r="AJ141"/>
  <c r="AK141" s="1"/>
  <c r="AJ188"/>
  <c r="AK188" s="1"/>
  <c r="Q188" i="11"/>
  <c r="R188" s="1"/>
  <c r="Q141"/>
  <c r="R141" s="1"/>
  <c r="Q94"/>
  <c r="R94" s="1"/>
  <c r="Q47"/>
  <c r="R47" s="1"/>
  <c r="Q188" i="7"/>
  <c r="R188" s="1"/>
  <c r="Q141"/>
  <c r="R141" s="1"/>
  <c r="Q94"/>
  <c r="R94" s="1"/>
  <c r="Q47"/>
  <c r="R47" s="1"/>
  <c r="AJ47" i="12"/>
  <c r="AK47" s="1"/>
  <c r="K90" i="1"/>
  <c r="P90" s="1"/>
  <c r="J92"/>
  <c r="O92" s="1"/>
  <c r="Q92" s="1"/>
  <c r="R92" s="1"/>
  <c r="L43"/>
  <c r="J44"/>
  <c r="J186" i="7"/>
  <c r="J187" s="1"/>
  <c r="J92"/>
  <c r="J93" s="1"/>
  <c r="AH138" i="8"/>
  <c r="AJ138" s="1"/>
  <c r="AK138" s="1"/>
  <c r="L139"/>
  <c r="J138"/>
  <c r="J185"/>
  <c r="AH185"/>
  <c r="AJ185" s="1"/>
  <c r="AK185" s="1"/>
  <c r="BJ172" i="12"/>
  <c r="BJ171"/>
  <c r="BJ169"/>
  <c r="BJ168"/>
  <c r="BJ165"/>
  <c r="BJ164"/>
  <c r="BJ125"/>
  <c r="BJ124"/>
  <c r="BI124"/>
  <c r="BJ122"/>
  <c r="BJ121"/>
  <c r="BJ118"/>
  <c r="BJ117"/>
  <c r="BJ78"/>
  <c r="BI78"/>
  <c r="BH78"/>
  <c r="BJ77"/>
  <c r="BJ75"/>
  <c r="BJ74"/>
  <c r="BJ71"/>
  <c r="BJ70"/>
  <c r="BJ31"/>
  <c r="BJ30"/>
  <c r="BJ28"/>
  <c r="BJ27"/>
  <c r="BJ24"/>
  <c r="BJ23"/>
  <c r="BI70"/>
  <c r="AJ162" i="10"/>
  <c r="AK162" s="1"/>
  <c r="AJ115"/>
  <c r="AK115" s="1"/>
  <c r="AJ68"/>
  <c r="AK68" s="1"/>
  <c r="AB162" i="11"/>
  <c r="AJ186" i="9"/>
  <c r="AJ185"/>
  <c r="AJ184"/>
  <c r="AJ183"/>
  <c r="AJ176"/>
  <c r="AJ175"/>
  <c r="AJ174"/>
  <c r="AJ173"/>
  <c r="AJ171"/>
  <c r="AJ170"/>
  <c r="AJ169"/>
  <c r="AJ152"/>
  <c r="AJ139"/>
  <c r="AJ138"/>
  <c r="AJ137"/>
  <c r="AJ136"/>
  <c r="AJ105"/>
  <c r="AJ92"/>
  <c r="AJ91"/>
  <c r="AJ90"/>
  <c r="AJ89"/>
  <c r="AJ58"/>
  <c r="AJ165"/>
  <c r="AK165" s="1"/>
  <c r="AI71" i="1"/>
  <c r="AH71"/>
  <c r="AI118"/>
  <c r="AH118"/>
  <c r="AG118"/>
  <c r="AI165"/>
  <c r="AH165"/>
  <c r="AG165"/>
  <c r="AH38"/>
  <c r="AI38"/>
  <c r="BJ172" i="11"/>
  <c r="BJ171"/>
  <c r="BJ169"/>
  <c r="BJ168"/>
  <c r="BJ165"/>
  <c r="BJ164"/>
  <c r="BJ125"/>
  <c r="BJ124"/>
  <c r="BJ122"/>
  <c r="BJ121"/>
  <c r="BJ118"/>
  <c r="BJ117"/>
  <c r="BJ78"/>
  <c r="BJ77"/>
  <c r="BJ75"/>
  <c r="BJ74"/>
  <c r="BJ71"/>
  <c r="BJ70"/>
  <c r="AJ47"/>
  <c r="BJ31"/>
  <c r="BJ30"/>
  <c r="BJ28"/>
  <c r="BJ27"/>
  <c r="BJ24"/>
  <c r="BJ23"/>
  <c r="BJ172" i="10"/>
  <c r="BI172"/>
  <c r="BH172"/>
  <c r="BJ171"/>
  <c r="BJ169"/>
  <c r="BJ168"/>
  <c r="BJ165"/>
  <c r="BJ164"/>
  <c r="BJ125"/>
  <c r="BJ124"/>
  <c r="BJ122"/>
  <c r="BJ121"/>
  <c r="BJ118"/>
  <c r="BJ117"/>
  <c r="AJ94"/>
  <c r="AJ93"/>
  <c r="BJ78"/>
  <c r="BJ77"/>
  <c r="BJ75"/>
  <c r="BJ74"/>
  <c r="BJ71"/>
  <c r="BJ70"/>
  <c r="AJ47"/>
  <c r="Q47"/>
  <c r="AJ46"/>
  <c r="BJ30"/>
  <c r="BJ28"/>
  <c r="BJ27"/>
  <c r="BJ24"/>
  <c r="BJ23"/>
  <c r="AK187" i="9"/>
  <c r="AK177"/>
  <c r="BJ172"/>
  <c r="AK172"/>
  <c r="BJ171"/>
  <c r="BJ169"/>
  <c r="BJ168"/>
  <c r="BJ165"/>
  <c r="BJ164"/>
  <c r="AK140"/>
  <c r="AK130"/>
  <c r="BJ125"/>
  <c r="AK125"/>
  <c r="BJ124"/>
  <c r="BJ122"/>
  <c r="BJ121"/>
  <c r="BJ118"/>
  <c r="BJ117"/>
  <c r="AK93"/>
  <c r="AK83"/>
  <c r="BJ78"/>
  <c r="AK78"/>
  <c r="BJ77"/>
  <c r="BJ75"/>
  <c r="BJ74"/>
  <c r="BJ71"/>
  <c r="BJ70"/>
  <c r="BJ31"/>
  <c r="BJ30"/>
  <c r="BJ28"/>
  <c r="BJ27"/>
  <c r="BJ24"/>
  <c r="BJ23"/>
  <c r="BI78" i="11"/>
  <c r="BH125" i="10"/>
  <c r="AI178" i="8"/>
  <c r="AH178"/>
  <c r="AG178"/>
  <c r="AH131"/>
  <c r="AI131"/>
  <c r="AG131"/>
  <c r="AH84"/>
  <c r="AI84"/>
  <c r="AG84"/>
  <c r="AJ188"/>
  <c r="AK188" s="1"/>
  <c r="AG159"/>
  <c r="AJ159" s="1"/>
  <c r="AK159" s="1"/>
  <c r="AG112"/>
  <c r="AJ112" s="1"/>
  <c r="AK112" s="1"/>
  <c r="AJ141"/>
  <c r="AK141" s="1"/>
  <c r="L188"/>
  <c r="Q188" s="1"/>
  <c r="R188" s="1"/>
  <c r="K184"/>
  <c r="I162"/>
  <c r="I115"/>
  <c r="L141"/>
  <c r="Q141" s="1"/>
  <c r="R141" s="1"/>
  <c r="K137"/>
  <c r="L94"/>
  <c r="Q94" s="1"/>
  <c r="R94" s="1"/>
  <c r="BJ219"/>
  <c r="BJ218"/>
  <c r="BJ216"/>
  <c r="BJ215"/>
  <c r="BJ212"/>
  <c r="BJ211"/>
  <c r="BJ172"/>
  <c r="BJ171"/>
  <c r="BJ169"/>
  <c r="BJ168"/>
  <c r="BJ165"/>
  <c r="BJ164"/>
  <c r="BJ125"/>
  <c r="BJ124"/>
  <c r="BJ122"/>
  <c r="BJ121"/>
  <c r="BJ118"/>
  <c r="BJ117"/>
  <c r="BJ78"/>
  <c r="BJ77"/>
  <c r="P80" i="14" s="1"/>
  <c r="BJ75" i="8"/>
  <c r="BJ74"/>
  <c r="BJ71"/>
  <c r="BJ70"/>
  <c r="AJ186" i="7"/>
  <c r="AJ185"/>
  <c r="AJ184"/>
  <c r="AJ183"/>
  <c r="AJ139"/>
  <c r="AJ138"/>
  <c r="AJ137"/>
  <c r="AJ136"/>
  <c r="AJ92"/>
  <c r="AJ91"/>
  <c r="AJ90"/>
  <c r="AJ89"/>
  <c r="AJ188"/>
  <c r="AK188" s="1"/>
  <c r="W187"/>
  <c r="AJ187" s="1"/>
  <c r="BI171" s="1"/>
  <c r="AJ181"/>
  <c r="AK181" s="1"/>
  <c r="AJ180"/>
  <c r="AK180" s="1"/>
  <c r="AJ179"/>
  <c r="AK179" s="1"/>
  <c r="AJ176"/>
  <c r="AJ175"/>
  <c r="AJ173"/>
  <c r="AJ171"/>
  <c r="AJ170"/>
  <c r="AJ169"/>
  <c r="AJ167"/>
  <c r="AK167" s="1"/>
  <c r="AJ165"/>
  <c r="AK165" s="1"/>
  <c r="AJ156"/>
  <c r="AK156" s="1"/>
  <c r="AJ154"/>
  <c r="AK154" s="1"/>
  <c r="AJ152"/>
  <c r="AK152" s="1"/>
  <c r="AJ151"/>
  <c r="AK151" s="1"/>
  <c r="AJ150"/>
  <c r="AK150" s="1"/>
  <c r="AJ149"/>
  <c r="AK149" s="1"/>
  <c r="AJ148"/>
  <c r="AK148" s="1"/>
  <c r="AJ101"/>
  <c r="AK101" s="1"/>
  <c r="AJ141"/>
  <c r="AK141" s="1"/>
  <c r="AJ94"/>
  <c r="AK94" s="1"/>
  <c r="W140"/>
  <c r="AJ140" s="1"/>
  <c r="BI124" s="1"/>
  <c r="AJ134"/>
  <c r="AK134" s="1"/>
  <c r="AJ133"/>
  <c r="AK133" s="1"/>
  <c r="AJ129"/>
  <c r="AJ128"/>
  <c r="AJ127"/>
  <c r="AJ126"/>
  <c r="AJ124"/>
  <c r="AJ122"/>
  <c r="AJ120"/>
  <c r="AK120" s="1"/>
  <c r="AJ118"/>
  <c r="AK118" s="1"/>
  <c r="AJ109"/>
  <c r="AK109" s="1"/>
  <c r="AJ108"/>
  <c r="AK108" s="1"/>
  <c r="AJ107"/>
  <c r="AK107" s="1"/>
  <c r="AJ105"/>
  <c r="AK105" s="1"/>
  <c r="AJ104"/>
  <c r="AK104" s="1"/>
  <c r="AJ103"/>
  <c r="AK103" s="1"/>
  <c r="AJ102"/>
  <c r="AK102" s="1"/>
  <c r="W93"/>
  <c r="AJ93" s="1"/>
  <c r="BI77" s="1"/>
  <c r="AJ87"/>
  <c r="AK87" s="1"/>
  <c r="AJ86"/>
  <c r="AK86" s="1"/>
  <c r="AJ82"/>
  <c r="AJ81"/>
  <c r="AJ80"/>
  <c r="AJ79"/>
  <c r="AJ77"/>
  <c r="AJ76"/>
  <c r="AJ75"/>
  <c r="AJ73"/>
  <c r="AK73" s="1"/>
  <c r="AJ71"/>
  <c r="AK71" s="1"/>
  <c r="AJ70"/>
  <c r="AK70" s="1"/>
  <c r="AJ64"/>
  <c r="AK64" s="1"/>
  <c r="AJ62"/>
  <c r="AK62" s="1"/>
  <c r="AJ61"/>
  <c r="AK61" s="1"/>
  <c r="AJ60"/>
  <c r="AK60" s="1"/>
  <c r="AJ58"/>
  <c r="AK58" s="1"/>
  <c r="AJ57"/>
  <c r="AK57" s="1"/>
  <c r="AJ56"/>
  <c r="AK56" s="1"/>
  <c r="AJ55"/>
  <c r="AK55" s="1"/>
  <c r="W46"/>
  <c r="AH37" i="1"/>
  <c r="AI37"/>
  <c r="AG37"/>
  <c r="AJ46" i="7"/>
  <c r="BI30" s="1"/>
  <c r="AK187"/>
  <c r="BJ168"/>
  <c r="AK177"/>
  <c r="BJ172"/>
  <c r="AK172"/>
  <c r="BJ171"/>
  <c r="BJ169"/>
  <c r="BJ165"/>
  <c r="BJ164"/>
  <c r="AK140"/>
  <c r="AK130"/>
  <c r="BJ125"/>
  <c r="AK125"/>
  <c r="BJ124"/>
  <c r="BJ122"/>
  <c r="BJ118"/>
  <c r="BJ117"/>
  <c r="AK93"/>
  <c r="AK83"/>
  <c r="BJ78"/>
  <c r="AK78"/>
  <c r="BJ77"/>
  <c r="BJ75"/>
  <c r="BJ71"/>
  <c r="BJ70"/>
  <c r="BJ31"/>
  <c r="BJ30"/>
  <c r="BJ28"/>
  <c r="BJ24"/>
  <c r="BJ23"/>
  <c r="L186" i="1"/>
  <c r="J185"/>
  <c r="L184"/>
  <c r="L138"/>
  <c r="K137"/>
  <c r="AK187"/>
  <c r="Q188"/>
  <c r="R188" s="1"/>
  <c r="BB178"/>
  <c r="BJ168" s="1"/>
  <c r="AJ187"/>
  <c r="BI171" s="1"/>
  <c r="BA178"/>
  <c r="AZ178"/>
  <c r="AY178"/>
  <c r="AI187"/>
  <c r="AH187"/>
  <c r="AG187"/>
  <c r="I187"/>
  <c r="N187" s="1"/>
  <c r="BC178"/>
  <c r="BJ172"/>
  <c r="BJ171"/>
  <c r="BJ169"/>
  <c r="BJ165"/>
  <c r="BJ164"/>
  <c r="AK140"/>
  <c r="Q141"/>
  <c r="R141" s="1"/>
  <c r="BB131"/>
  <c r="BJ121" s="1"/>
  <c r="AJ140"/>
  <c r="BI124" s="1"/>
  <c r="BA131"/>
  <c r="AZ131"/>
  <c r="AY131"/>
  <c r="AI140"/>
  <c r="AH140"/>
  <c r="AG140"/>
  <c r="I140"/>
  <c r="N140" s="1"/>
  <c r="BC131"/>
  <c r="BJ125"/>
  <c r="BJ124"/>
  <c r="BJ122"/>
  <c r="BJ118"/>
  <c r="BJ117"/>
  <c r="AK93"/>
  <c r="Q94"/>
  <c r="R94" s="1"/>
  <c r="BB84"/>
  <c r="BJ74" s="1"/>
  <c r="AJ93"/>
  <c r="BI77" s="1"/>
  <c r="BA84"/>
  <c r="AZ84"/>
  <c r="AY84"/>
  <c r="AI93"/>
  <c r="AH93"/>
  <c r="AG93"/>
  <c r="I93"/>
  <c r="N93" s="1"/>
  <c r="BC84"/>
  <c r="BJ78"/>
  <c r="BJ77"/>
  <c r="BJ75"/>
  <c r="BJ71"/>
  <c r="BJ70"/>
  <c r="BB37"/>
  <c r="BJ27" s="1"/>
  <c r="AJ46"/>
  <c r="BI30" s="1"/>
  <c r="Q47"/>
  <c r="R47" s="1"/>
  <c r="AK46"/>
  <c r="AI46"/>
  <c r="BA37"/>
  <c r="AH46"/>
  <c r="AZ37"/>
  <c r="I46"/>
  <c r="N46" s="1"/>
  <c r="AG46"/>
  <c r="AY37"/>
  <c r="AK178" i="7"/>
  <c r="N125" i="1"/>
  <c r="W144" i="12"/>
  <c r="BI73"/>
  <c r="BI72"/>
  <c r="BI171"/>
  <c r="J186" i="1"/>
  <c r="O186" s="1"/>
  <c r="J139" i="8"/>
  <c r="O139" s="1"/>
  <c r="Q139" s="1"/>
  <c r="G50" i="11"/>
  <c r="W31" i="7"/>
  <c r="AJ31" s="1"/>
  <c r="AP87" i="1"/>
  <c r="P59" i="7"/>
  <c r="K184" i="1"/>
  <c r="P184" s="1"/>
  <c r="AJ123" i="7"/>
  <c r="AJ174"/>
  <c r="O85" i="1"/>
  <c r="O63"/>
  <c r="P106"/>
  <c r="J182"/>
  <c r="AJ13" i="7"/>
  <c r="AK13" s="1"/>
  <c r="AJ18"/>
  <c r="J135" i="1"/>
  <c r="P125"/>
  <c r="P59"/>
  <c r="P83"/>
  <c r="P179"/>
  <c r="P172"/>
  <c r="P157"/>
  <c r="N12"/>
  <c r="BI74" i="12"/>
  <c r="BH118" i="13"/>
  <c r="BH77"/>
  <c r="BH104"/>
  <c r="BH151"/>
  <c r="BH151" i="11"/>
  <c r="I68" i="8"/>
  <c r="AG65"/>
  <c r="AJ65" s="1"/>
  <c r="AJ72" i="7"/>
  <c r="AK72" s="1"/>
  <c r="BI105" i="10"/>
  <c r="BJ105"/>
  <c r="AJ166" i="7"/>
  <c r="AK166" s="1"/>
  <c r="BH105" i="10"/>
  <c r="BI58"/>
  <c r="BJ58"/>
  <c r="BH58"/>
  <c r="AJ119" i="7"/>
  <c r="AK119" s="1"/>
  <c r="BJ152" i="10"/>
  <c r="BH152"/>
  <c r="BI152"/>
  <c r="BI151" i="13"/>
  <c r="BJ151"/>
  <c r="BJ57"/>
  <c r="BJ104"/>
  <c r="BI104"/>
  <c r="BJ104" i="11"/>
  <c r="BI58" i="13"/>
  <c r="BI105" i="12"/>
  <c r="BI152" i="13"/>
  <c r="BJ58"/>
  <c r="BH105" i="12"/>
  <c r="BJ105" i="13"/>
  <c r="BJ105" i="12"/>
  <c r="P37" i="7"/>
  <c r="P178"/>
  <c r="P38"/>
  <c r="P157"/>
  <c r="P187"/>
  <c r="O93" i="10"/>
  <c r="P93"/>
  <c r="P46"/>
  <c r="BH124"/>
  <c r="BH171"/>
  <c r="AG166" i="1"/>
  <c r="AG119"/>
  <c r="AG72"/>
  <c r="AH166"/>
  <c r="AH119"/>
  <c r="AH72"/>
  <c r="AI166"/>
  <c r="AI119"/>
  <c r="AI72"/>
  <c r="AG167"/>
  <c r="AG120"/>
  <c r="AG73"/>
  <c r="AH167"/>
  <c r="AH120"/>
  <c r="AH73"/>
  <c r="AI167"/>
  <c r="AI120"/>
  <c r="AI73"/>
  <c r="AI181"/>
  <c r="AI134"/>
  <c r="AI87"/>
  <c r="AI40"/>
  <c r="AG155"/>
  <c r="AG108"/>
  <c r="AG61"/>
  <c r="AG14"/>
  <c r="AH155"/>
  <c r="AH108"/>
  <c r="AH61"/>
  <c r="AH14"/>
  <c r="AI155"/>
  <c r="AI108"/>
  <c r="AI61"/>
  <c r="AI14"/>
  <c r="AI158"/>
  <c r="AI111"/>
  <c r="AI64"/>
  <c r="AI159"/>
  <c r="AI112"/>
  <c r="AI65"/>
  <c r="AI161"/>
  <c r="AI114"/>
  <c r="AI67"/>
  <c r="AG164"/>
  <c r="AG117"/>
  <c r="AG70"/>
  <c r="AH164"/>
  <c r="AH117"/>
  <c r="AH70"/>
  <c r="AI164"/>
  <c r="AI117"/>
  <c r="AI70"/>
  <c r="AG152"/>
  <c r="AG105"/>
  <c r="AG58"/>
  <c r="AG11"/>
  <c r="AH152"/>
  <c r="AH105"/>
  <c r="AH58"/>
  <c r="AH11"/>
  <c r="AI152"/>
  <c r="AI105"/>
  <c r="AI58"/>
  <c r="AI11"/>
  <c r="AG149"/>
  <c r="AG102"/>
  <c r="AG55"/>
  <c r="AG8"/>
  <c r="AH149"/>
  <c r="AH102"/>
  <c r="AH55"/>
  <c r="AH8"/>
  <c r="AI149"/>
  <c r="AI102"/>
  <c r="AI55"/>
  <c r="AI8"/>
  <c r="AG150"/>
  <c r="AG103"/>
  <c r="AG56"/>
  <c r="AG9"/>
  <c r="AH150"/>
  <c r="AH103"/>
  <c r="AH56"/>
  <c r="AH9"/>
  <c r="AI150"/>
  <c r="AI103"/>
  <c r="AI56"/>
  <c r="AI9"/>
  <c r="AH148"/>
  <c r="AH101"/>
  <c r="AH54"/>
  <c r="AH7"/>
  <c r="AI148"/>
  <c r="AI101"/>
  <c r="AI54"/>
  <c r="AI7"/>
  <c r="AG148"/>
  <c r="AG101"/>
  <c r="AJ101" s="1"/>
  <c r="AK101" s="1"/>
  <c r="AG54"/>
  <c r="AJ54" s="1"/>
  <c r="AK54" s="1"/>
  <c r="AG7"/>
  <c r="AJ7" s="1"/>
  <c r="AK7" s="1"/>
  <c r="AJ11" i="10"/>
  <c r="AK11" s="1"/>
  <c r="AJ39"/>
  <c r="AK39" s="1"/>
  <c r="AJ8"/>
  <c r="AK8" s="1"/>
  <c r="AJ7"/>
  <c r="AK7" s="1"/>
  <c r="AJ16"/>
  <c r="AK16" s="1"/>
  <c r="AJ13"/>
  <c r="AK13" s="1"/>
  <c r="AJ28"/>
  <c r="AK28" s="1"/>
  <c r="AJ49"/>
  <c r="AK49" s="1"/>
  <c r="AJ40"/>
  <c r="AK40" s="1"/>
  <c r="AJ9"/>
  <c r="AK9" s="1"/>
  <c r="AJ14"/>
  <c r="AK14" s="1"/>
  <c r="AJ29"/>
  <c r="AK29" s="1"/>
  <c r="AJ38"/>
  <c r="AK38" s="1"/>
  <c r="AJ24"/>
  <c r="AK24" s="1"/>
  <c r="AJ121"/>
  <c r="AK121" s="1"/>
  <c r="AJ66"/>
  <c r="AK66" s="1"/>
  <c r="AJ61"/>
  <c r="AK61" s="1"/>
  <c r="AJ75"/>
  <c r="AJ113"/>
  <c r="AK113" s="1"/>
  <c r="AJ108"/>
  <c r="AK108" s="1"/>
  <c r="AJ122"/>
  <c r="AJ74"/>
  <c r="AK74" s="1"/>
  <c r="AJ12"/>
  <c r="AK12" s="1"/>
  <c r="AJ96"/>
  <c r="AK96" s="1"/>
  <c r="AJ87"/>
  <c r="AK87" s="1"/>
  <c r="AJ59"/>
  <c r="AK59" s="1"/>
  <c r="AJ65"/>
  <c r="AK65" s="1"/>
  <c r="W63"/>
  <c r="AJ63" s="1"/>
  <c r="AK63" s="1"/>
  <c r="AJ76"/>
  <c r="AJ85"/>
  <c r="AK85" s="1"/>
  <c r="AJ143"/>
  <c r="AK143" s="1"/>
  <c r="AJ134"/>
  <c r="AK134" s="1"/>
  <c r="AJ133"/>
  <c r="AK133" s="1"/>
  <c r="AJ106"/>
  <c r="AK106" s="1"/>
  <c r="AJ112"/>
  <c r="AK112" s="1"/>
  <c r="AJ107"/>
  <c r="AK107" s="1"/>
  <c r="AJ123"/>
  <c r="AJ132"/>
  <c r="AK132" s="1"/>
  <c r="AH181" i="1"/>
  <c r="AG40"/>
  <c r="AG87"/>
  <c r="AI10"/>
  <c r="AI57"/>
  <c r="AI104"/>
  <c r="AI151"/>
  <c r="AG134"/>
  <c r="AG181"/>
  <c r="AH10"/>
  <c r="AH57"/>
  <c r="AH104"/>
  <c r="AH151"/>
  <c r="AG10"/>
  <c r="AG57"/>
  <c r="AG104"/>
  <c r="AG151"/>
  <c r="AI13"/>
  <c r="AI85"/>
  <c r="AI179"/>
  <c r="AH85"/>
  <c r="AH179"/>
  <c r="AG85"/>
  <c r="AG179"/>
  <c r="AI66"/>
  <c r="AI160"/>
  <c r="AI60"/>
  <c r="AI107"/>
  <c r="AI154"/>
  <c r="AH13"/>
  <c r="AH60"/>
  <c r="AH107"/>
  <c r="AH154"/>
  <c r="AG13"/>
  <c r="AG60"/>
  <c r="AJ60" s="1"/>
  <c r="AK60" s="1"/>
  <c r="AG107"/>
  <c r="AG154"/>
  <c r="AJ154" s="1"/>
  <c r="AK154" s="1"/>
  <c r="AI15"/>
  <c r="AI62"/>
  <c r="AI109"/>
  <c r="AI156"/>
  <c r="AH15"/>
  <c r="AH62"/>
  <c r="AH109"/>
  <c r="AH156"/>
  <c r="AG15"/>
  <c r="AJ15" s="1"/>
  <c r="AK15" s="1"/>
  <c r="AG62"/>
  <c r="AJ62" s="1"/>
  <c r="AK62" s="1"/>
  <c r="AG109"/>
  <c r="AJ109" s="1"/>
  <c r="AK109" s="1"/>
  <c r="AG156"/>
  <c r="AI39"/>
  <c r="AH39"/>
  <c r="AG39"/>
  <c r="AI132"/>
  <c r="AH132"/>
  <c r="AG38"/>
  <c r="AG132"/>
  <c r="AI113"/>
  <c r="AI86"/>
  <c r="AI133"/>
  <c r="AI180"/>
  <c r="AH86"/>
  <c r="AH133"/>
  <c r="AG86"/>
  <c r="AG133"/>
  <c r="AG180"/>
  <c r="P157" i="10"/>
  <c r="AJ179"/>
  <c r="AK179" s="1"/>
  <c r="AJ170"/>
  <c r="AJ159"/>
  <c r="AK159" s="1"/>
  <c r="AJ153"/>
  <c r="AK153" s="1"/>
  <c r="AJ180"/>
  <c r="AK180" s="1"/>
  <c r="AJ181"/>
  <c r="AK181" s="1"/>
  <c r="AJ190"/>
  <c r="AK190" s="1"/>
  <c r="AJ169"/>
  <c r="AJ155"/>
  <c r="AK155" s="1"/>
  <c r="AJ160"/>
  <c r="AK160" s="1"/>
  <c r="AJ168"/>
  <c r="AK168" s="1"/>
  <c r="AJ154"/>
  <c r="AK154" s="1"/>
  <c r="AU162" i="1"/>
  <c r="AV162" s="1"/>
  <c r="AW162" s="1"/>
  <c r="AU68"/>
  <c r="AV68" s="1"/>
  <c r="AW68" s="1"/>
  <c r="AU115"/>
  <c r="AV115" s="1"/>
  <c r="AW115" s="1"/>
  <c r="AK21" l="1"/>
  <c r="AK19" i="7"/>
  <c r="AK17"/>
  <c r="AK18"/>
  <c r="AK21"/>
  <c r="AK65" i="8"/>
  <c r="AK68"/>
  <c r="AK18" i="10"/>
  <c r="AK17"/>
  <c r="AK21"/>
  <c r="AK27"/>
  <c r="AK19"/>
  <c r="AB37" i="13"/>
  <c r="AG37" s="1"/>
  <c r="AJ37" s="1"/>
  <c r="AK37" s="1"/>
  <c r="AJ107" i="1"/>
  <c r="AK107" s="1"/>
  <c r="BI30" i="13"/>
  <c r="BJ27" i="7"/>
  <c r="P77" i="14" s="1"/>
  <c r="BI125" i="11"/>
  <c r="BI172"/>
  <c r="BL78" i="12"/>
  <c r="BK78" s="1"/>
  <c r="BL172" i="10"/>
  <c r="AJ93" i="9"/>
  <c r="BI77" s="1"/>
  <c r="AJ140"/>
  <c r="BI124" s="1"/>
  <c r="AJ140" i="11"/>
  <c r="BL77" i="13"/>
  <c r="BJ74" i="7"/>
  <c r="AK131" i="9"/>
  <c r="AJ177"/>
  <c r="AK84" i="7"/>
  <c r="AK131"/>
  <c r="BI124" i="10"/>
  <c r="BL124" s="1"/>
  <c r="AJ151" i="1"/>
  <c r="AK151" s="1"/>
  <c r="AJ10"/>
  <c r="AK10" s="1"/>
  <c r="U37" i="12"/>
  <c r="AH37" s="1"/>
  <c r="BI78" i="10"/>
  <c r="AJ187" i="9"/>
  <c r="BI171" s="1"/>
  <c r="AJ93" i="11"/>
  <c r="AK178" i="9"/>
  <c r="AJ179" i="1"/>
  <c r="AK179" s="1"/>
  <c r="V37" i="12"/>
  <c r="AI37" s="1"/>
  <c r="L91" i="8"/>
  <c r="AJ105" i="1"/>
  <c r="AK105" s="1"/>
  <c r="AI22"/>
  <c r="BI31" i="10"/>
  <c r="AJ181" i="1"/>
  <c r="AK181" s="1"/>
  <c r="AG22" i="13"/>
  <c r="AJ22" s="1"/>
  <c r="AK22" s="1"/>
  <c r="AJ120" i="1"/>
  <c r="AK120" s="1"/>
  <c r="BH124" i="13"/>
  <c r="BL124" s="1"/>
  <c r="BK124" s="1"/>
  <c r="BJ121" i="7"/>
  <c r="AB63" i="11"/>
  <c r="AG63" s="1"/>
  <c r="AJ73" i="1"/>
  <c r="AK73" s="1"/>
  <c r="BI77" i="11"/>
  <c r="BI74" i="13"/>
  <c r="BI121"/>
  <c r="BI172"/>
  <c r="BI164"/>
  <c r="BI166"/>
  <c r="AI191" i="11"/>
  <c r="BJ152" s="1"/>
  <c r="AJ85" i="1"/>
  <c r="AK85" s="1"/>
  <c r="AJ104"/>
  <c r="AK104" s="1"/>
  <c r="AJ103"/>
  <c r="AK103" s="1"/>
  <c r="BI125" i="10"/>
  <c r="BL125" s="1"/>
  <c r="BI31" i="11"/>
  <c r="BI77" i="10"/>
  <c r="AJ172" i="9"/>
  <c r="BI75" i="12"/>
  <c r="BI76"/>
  <c r="BI31" i="13"/>
  <c r="BI78"/>
  <c r="BI125"/>
  <c r="BI165"/>
  <c r="BI219" i="8"/>
  <c r="AJ57" i="1"/>
  <c r="AK57" s="1"/>
  <c r="AH59"/>
  <c r="BH71" i="13"/>
  <c r="BJ57" i="12"/>
  <c r="AK84" i="9"/>
  <c r="BI171" i="11"/>
  <c r="BI23" i="13"/>
  <c r="BI71"/>
  <c r="BI73"/>
  <c r="BI118"/>
  <c r="BL118" s="1"/>
  <c r="BK118" s="1"/>
  <c r="BI120"/>
  <c r="BI167"/>
  <c r="BH78" i="10"/>
  <c r="BI71" i="12"/>
  <c r="BI70" i="13"/>
  <c r="BI117"/>
  <c r="BI169"/>
  <c r="BH31" i="10"/>
  <c r="AG63" i="1"/>
  <c r="AG12"/>
  <c r="AG135"/>
  <c r="AG41"/>
  <c r="AH110"/>
  <c r="AJ13"/>
  <c r="AK13" s="1"/>
  <c r="BH76" i="13"/>
  <c r="O36" i="12"/>
  <c r="AK182" i="7"/>
  <c r="BH125"/>
  <c r="BI78"/>
  <c r="BI30" i="10"/>
  <c r="BI73"/>
  <c r="BI26"/>
  <c r="BN104" i="13"/>
  <c r="BH70"/>
  <c r="BH164"/>
  <c r="BH170"/>
  <c r="AJ93" i="8"/>
  <c r="AK93" s="1"/>
  <c r="BI214"/>
  <c r="BI78"/>
  <c r="BI31" i="9"/>
  <c r="BI172"/>
  <c r="BI78"/>
  <c r="BH78" i="1"/>
  <c r="BI125"/>
  <c r="BH125"/>
  <c r="AJ58"/>
  <c r="AK58" s="1"/>
  <c r="AJ155"/>
  <c r="AK155" s="1"/>
  <c r="AJ131" i="10"/>
  <c r="AK131" s="1"/>
  <c r="G191" i="11"/>
  <c r="AH40" i="1"/>
  <c r="AH41" s="1"/>
  <c r="AI63"/>
  <c r="J138"/>
  <c r="O138" s="1"/>
  <c r="Q138" s="1"/>
  <c r="R138" s="1"/>
  <c r="O157" i="7"/>
  <c r="P153" i="1"/>
  <c r="P177"/>
  <c r="P178" s="1"/>
  <c r="K182"/>
  <c r="O177"/>
  <c r="O153"/>
  <c r="L92"/>
  <c r="O157"/>
  <c r="O179"/>
  <c r="P130"/>
  <c r="P131" s="1"/>
  <c r="L74"/>
  <c r="AR74" s="1"/>
  <c r="O132"/>
  <c r="AP40"/>
  <c r="AJ84" i="10"/>
  <c r="AK84" s="1"/>
  <c r="AJ178"/>
  <c r="AK178" s="1"/>
  <c r="G97" i="11"/>
  <c r="AH87" i="1"/>
  <c r="AJ87" s="1"/>
  <c r="AK87" s="1"/>
  <c r="O43" i="12"/>
  <c r="I35"/>
  <c r="O28"/>
  <c r="K15"/>
  <c r="I13"/>
  <c r="O10"/>
  <c r="AJ56" i="1"/>
  <c r="AK56" s="1"/>
  <c r="AJ72"/>
  <c r="AK72" s="1"/>
  <c r="AG27"/>
  <c r="AJ102"/>
  <c r="AK102" s="1"/>
  <c r="AJ14"/>
  <c r="AK14" s="1"/>
  <c r="AJ111"/>
  <c r="AK111" s="1"/>
  <c r="P106" i="7"/>
  <c r="P110"/>
  <c r="BH74" i="13"/>
  <c r="BL74" s="1"/>
  <c r="BK74" s="1"/>
  <c r="P46" i="7"/>
  <c r="P16"/>
  <c r="P85"/>
  <c r="P12"/>
  <c r="O63"/>
  <c r="AE84" i="11"/>
  <c r="I135" i="1"/>
  <c r="N78"/>
  <c r="K163"/>
  <c r="O31"/>
  <c r="BH31" i="11"/>
  <c r="BL31" s="1"/>
  <c r="BK31" s="1"/>
  <c r="P12" i="1"/>
  <c r="O106" i="7"/>
  <c r="W36"/>
  <c r="AJ36" s="1"/>
  <c r="BI29"/>
  <c r="L92" i="8"/>
  <c r="N172" i="1"/>
  <c r="I88"/>
  <c r="P16"/>
  <c r="J38" i="12"/>
  <c r="AI27" i="1"/>
  <c r="AI135"/>
  <c r="AJ113"/>
  <c r="AK113" s="1"/>
  <c r="AJ38"/>
  <c r="AK38" s="1"/>
  <c r="AH168"/>
  <c r="AG121"/>
  <c r="N106"/>
  <c r="N130"/>
  <c r="N131" s="1"/>
  <c r="N63"/>
  <c r="N85"/>
  <c r="N31"/>
  <c r="L90"/>
  <c r="AA37"/>
  <c r="AJ37" s="1"/>
  <c r="AK37" s="1"/>
  <c r="L159"/>
  <c r="AR159" s="1"/>
  <c r="N59"/>
  <c r="N110"/>
  <c r="N36"/>
  <c r="L44"/>
  <c r="L112"/>
  <c r="AR112" s="1"/>
  <c r="BI30" i="11"/>
  <c r="L69" i="7"/>
  <c r="P132"/>
  <c r="O179"/>
  <c r="W106"/>
  <c r="AJ106" s="1"/>
  <c r="BI117" s="1"/>
  <c r="W63"/>
  <c r="AJ63" s="1"/>
  <c r="BI71" s="1"/>
  <c r="BH219" i="8"/>
  <c r="AJ132"/>
  <c r="AK132" s="1"/>
  <c r="AJ131"/>
  <c r="AK131" s="1"/>
  <c r="BI171" i="13"/>
  <c r="BH121"/>
  <c r="BL121" s="1"/>
  <c r="BK121" s="1"/>
  <c r="BI168"/>
  <c r="BK77"/>
  <c r="BI29"/>
  <c r="BH57" i="12"/>
  <c r="BK58"/>
  <c r="BM58"/>
  <c r="BI77"/>
  <c r="E22"/>
  <c r="J22" s="1"/>
  <c r="J44"/>
  <c r="P28"/>
  <c r="V27"/>
  <c r="AI27" s="1"/>
  <c r="BI171" i="10"/>
  <c r="BL171" s="1"/>
  <c r="AH63" i="1"/>
  <c r="L121"/>
  <c r="AR121" s="1"/>
  <c r="AJ85" i="8"/>
  <c r="AK85" s="1"/>
  <c r="AJ166" i="1"/>
  <c r="AK166" s="1"/>
  <c r="J163"/>
  <c r="AK88" i="7"/>
  <c r="W125"/>
  <c r="AJ125" s="1"/>
  <c r="AJ37" i="10"/>
  <c r="AK37" s="1"/>
  <c r="AH27" i="1"/>
  <c r="K187"/>
  <c r="G191"/>
  <c r="L111"/>
  <c r="AR111" s="1"/>
  <c r="O12"/>
  <c r="L12"/>
  <c r="O178" i="7"/>
  <c r="O153"/>
  <c r="O85"/>
  <c r="N16" i="1"/>
  <c r="I182"/>
  <c r="L180"/>
  <c r="L182" s="1"/>
  <c r="AR182" s="1"/>
  <c r="AJ54" i="7"/>
  <c r="AK54" s="1"/>
  <c r="W59"/>
  <c r="AJ59" s="1"/>
  <c r="BI70" s="1"/>
  <c r="AJ85"/>
  <c r="AK85" s="1"/>
  <c r="AJ88"/>
  <c r="BI76" s="1"/>
  <c r="AJ117"/>
  <c r="AK117" s="1"/>
  <c r="W121"/>
  <c r="AJ121" s="1"/>
  <c r="BI120" s="1"/>
  <c r="AJ135"/>
  <c r="BI123" s="1"/>
  <c r="AJ132"/>
  <c r="AK132" s="1"/>
  <c r="AJ155"/>
  <c r="AK155" s="1"/>
  <c r="W157"/>
  <c r="AJ157" s="1"/>
  <c r="BI165" s="1"/>
  <c r="AJ164"/>
  <c r="AK164" s="1"/>
  <c r="W168"/>
  <c r="AJ168" s="1"/>
  <c r="BI167" s="1"/>
  <c r="J186" i="8"/>
  <c r="O186" s="1"/>
  <c r="Q186" s="1"/>
  <c r="L186"/>
  <c r="J139" i="7"/>
  <c r="J140" s="1"/>
  <c r="O140" s="1"/>
  <c r="O110"/>
  <c r="L45" i="1"/>
  <c r="J45"/>
  <c r="O45" s="1"/>
  <c r="Q45" s="1"/>
  <c r="R45" s="1"/>
  <c r="L91"/>
  <c r="J91"/>
  <c r="BH31" i="9"/>
  <c r="AJ7" i="7"/>
  <c r="AK7" s="1"/>
  <c r="W12"/>
  <c r="AJ12" s="1"/>
  <c r="BI23" s="1"/>
  <c r="AJ14"/>
  <c r="AK14" s="1"/>
  <c r="W16"/>
  <c r="AJ16" s="1"/>
  <c r="BI24" s="1"/>
  <c r="P131"/>
  <c r="P153"/>
  <c r="P179"/>
  <c r="O83" i="1"/>
  <c r="K88"/>
  <c r="P63"/>
  <c r="L67"/>
  <c r="AR67" s="1"/>
  <c r="P78"/>
  <c r="P84" s="1"/>
  <c r="P85"/>
  <c r="G97"/>
  <c r="K135"/>
  <c r="P132"/>
  <c r="O106"/>
  <c r="O130"/>
  <c r="P110"/>
  <c r="BH75" i="13"/>
  <c r="BL75" s="1"/>
  <c r="BK75" s="1"/>
  <c r="BM57"/>
  <c r="BH122"/>
  <c r="BL122" s="1"/>
  <c r="BK122" s="1"/>
  <c r="BH165"/>
  <c r="BL165" s="1"/>
  <c r="BK165" s="1"/>
  <c r="BH167"/>
  <c r="BH169"/>
  <c r="BK151"/>
  <c r="BH171"/>
  <c r="AH134" i="1"/>
  <c r="AH135" s="1"/>
  <c r="AP134"/>
  <c r="AH178" i="11"/>
  <c r="AE178"/>
  <c r="AI110" i="1"/>
  <c r="AI59"/>
  <c r="AJ167"/>
  <c r="AK167" s="1"/>
  <c r="I69"/>
  <c r="K93"/>
  <c r="L66"/>
  <c r="AR66" s="1"/>
  <c r="L114"/>
  <c r="AR114" s="1"/>
  <c r="AK36" i="7"/>
  <c r="K14" i="12"/>
  <c r="J11"/>
  <c r="I43"/>
  <c r="K45"/>
  <c r="K35"/>
  <c r="AJ86" i="1"/>
  <c r="AK86" s="1"/>
  <c r="P84" i="7"/>
  <c r="P63"/>
  <c r="O38" i="1"/>
  <c r="L139"/>
  <c r="J139"/>
  <c r="O139" s="1"/>
  <c r="Q139" s="1"/>
  <c r="R139" s="1"/>
  <c r="L168"/>
  <c r="AR168" s="1"/>
  <c r="G144" i="11"/>
  <c r="BH117" i="13"/>
  <c r="BL117" s="1"/>
  <c r="BK117" s="1"/>
  <c r="BH168"/>
  <c r="AH180" i="1"/>
  <c r="AH182" s="1"/>
  <c r="AZ181"/>
  <c r="BB181" s="1"/>
  <c r="N10" i="12"/>
  <c r="I10"/>
  <c r="I30"/>
  <c r="L30" s="1"/>
  <c r="N30"/>
  <c r="I38"/>
  <c r="N38"/>
  <c r="O42"/>
  <c r="J42"/>
  <c r="L42" s="1"/>
  <c r="N45"/>
  <c r="I45"/>
  <c r="P43"/>
  <c r="K43"/>
  <c r="P49"/>
  <c r="Q49" s="1"/>
  <c r="R49" s="1"/>
  <c r="K49"/>
  <c r="AI131" i="11"/>
  <c r="AI144" s="1"/>
  <c r="BJ105" s="1"/>
  <c r="AJ55" i="1"/>
  <c r="AK55" s="1"/>
  <c r="L106"/>
  <c r="L130"/>
  <c r="L85"/>
  <c r="L158"/>
  <c r="AR158" s="1"/>
  <c r="AG168"/>
  <c r="AI88"/>
  <c r="AH121"/>
  <c r="AJ114"/>
  <c r="AK114" s="1"/>
  <c r="L160"/>
  <c r="AR160" s="1"/>
  <c r="P31"/>
  <c r="O16"/>
  <c r="P38"/>
  <c r="P36"/>
  <c r="AJ118"/>
  <c r="AK118" s="1"/>
  <c r="AJ39" i="12"/>
  <c r="AK39" s="1"/>
  <c r="E27"/>
  <c r="J27" s="1"/>
  <c r="AK41" i="7"/>
  <c r="Q184" i="1"/>
  <c r="R184" s="1"/>
  <c r="P187"/>
  <c r="AJ187" i="8"/>
  <c r="AK187" s="1"/>
  <c r="J187" i="1"/>
  <c r="O185"/>
  <c r="Q185" s="1"/>
  <c r="R185" s="1"/>
  <c r="J46" i="7"/>
  <c r="O46" s="1"/>
  <c r="O45"/>
  <c r="Q90" i="1"/>
  <c r="R90" s="1"/>
  <c r="P93"/>
  <c r="O131" i="7"/>
  <c r="O132"/>
  <c r="O59"/>
  <c r="O84"/>
  <c r="G144" i="1"/>
  <c r="G50"/>
  <c r="L137"/>
  <c r="L185"/>
  <c r="L187" s="1"/>
  <c r="K43"/>
  <c r="AK27" i="7"/>
  <c r="AK110"/>
  <c r="AK31"/>
  <c r="AJ178" i="8"/>
  <c r="AK178" s="1"/>
  <c r="AJ84"/>
  <c r="AK84" s="1"/>
  <c r="AH37" i="11"/>
  <c r="AJ132" i="1"/>
  <c r="AK132" s="1"/>
  <c r="J41"/>
  <c r="BM151" i="13"/>
  <c r="AG37" i="11"/>
  <c r="Q186" i="1"/>
  <c r="R186" s="1"/>
  <c r="J93" i="8"/>
  <c r="AJ178" i="12"/>
  <c r="AK178" s="1"/>
  <c r="BH31" i="1"/>
  <c r="BI172"/>
  <c r="BH78" i="7"/>
  <c r="L47" i="12"/>
  <c r="Q47" s="1"/>
  <c r="R47" s="1"/>
  <c r="BH125"/>
  <c r="BH78" i="9"/>
  <c r="AJ116" i="10"/>
  <c r="AK116" s="1"/>
  <c r="AC163" i="12"/>
  <c r="AC182"/>
  <c r="AJ182" s="1"/>
  <c r="AK182" s="1"/>
  <c r="AJ46" i="9"/>
  <c r="BI30" s="1"/>
  <c r="AK46"/>
  <c r="AJ156" i="1"/>
  <c r="AK156" s="1"/>
  <c r="AI182"/>
  <c r="AI41"/>
  <c r="AJ39"/>
  <c r="AK39" s="1"/>
  <c r="N83"/>
  <c r="L83"/>
  <c r="AJ133"/>
  <c r="AK133" s="1"/>
  <c r="AJ160"/>
  <c r="AK160" s="1"/>
  <c r="AJ161"/>
  <c r="AK161" s="1"/>
  <c r="AJ158"/>
  <c r="AK158" s="1"/>
  <c r="AJ66"/>
  <c r="AK66" s="1"/>
  <c r="AJ112"/>
  <c r="AK112" s="1"/>
  <c r="AI116"/>
  <c r="AJ67"/>
  <c r="AK67" s="1"/>
  <c r="AJ65"/>
  <c r="AK65" s="1"/>
  <c r="AG168" i="11"/>
  <c r="AJ168" s="1"/>
  <c r="AK168" s="1"/>
  <c r="AE168"/>
  <c r="O185" i="8"/>
  <c r="Q185" s="1"/>
  <c r="L185"/>
  <c r="BI172" i="7"/>
  <c r="AK74"/>
  <c r="W27"/>
  <c r="AJ27" s="1"/>
  <c r="W153"/>
  <c r="AJ153" s="1"/>
  <c r="BI164" s="1"/>
  <c r="W172"/>
  <c r="AJ172" s="1"/>
  <c r="W177"/>
  <c r="AJ177" s="1"/>
  <c r="AJ182"/>
  <c r="BI170" s="1"/>
  <c r="AK63"/>
  <c r="AK46"/>
  <c r="W74"/>
  <c r="AJ74" s="1"/>
  <c r="BI73" s="1"/>
  <c r="W130"/>
  <c r="AJ130" s="1"/>
  <c r="W83"/>
  <c r="AJ83" s="1"/>
  <c r="W110"/>
  <c r="AJ110" s="1"/>
  <c r="BI118" s="1"/>
  <c r="W78"/>
  <c r="BI125"/>
  <c r="AK106"/>
  <c r="AK153"/>
  <c r="AK135"/>
  <c r="BI169"/>
  <c r="BI31"/>
  <c r="AJ134" i="8"/>
  <c r="AK134" s="1"/>
  <c r="AJ168"/>
  <c r="AK168" s="1"/>
  <c r="AJ74"/>
  <c r="AJ63"/>
  <c r="AK63" s="1"/>
  <c r="AJ106"/>
  <c r="AK106" s="1"/>
  <c r="AJ179"/>
  <c r="AK179" s="1"/>
  <c r="K140"/>
  <c r="P137"/>
  <c r="Q137" s="1"/>
  <c r="BI211"/>
  <c r="AJ59"/>
  <c r="AK59" s="1"/>
  <c r="AJ110"/>
  <c r="AK110" s="1"/>
  <c r="AJ116"/>
  <c r="AK116" s="1"/>
  <c r="AJ181"/>
  <c r="AK181" s="1"/>
  <c r="AJ87"/>
  <c r="AK87" s="1"/>
  <c r="BI172"/>
  <c r="BI125"/>
  <c r="L137"/>
  <c r="AJ153"/>
  <c r="AK153" s="1"/>
  <c r="AJ163"/>
  <c r="AK163" s="1"/>
  <c r="AJ157"/>
  <c r="AK157" s="1"/>
  <c r="AJ121"/>
  <c r="AK121" s="1"/>
  <c r="AJ69"/>
  <c r="AK69" s="1"/>
  <c r="AG27" i="13"/>
  <c r="AJ27" s="1"/>
  <c r="AG13"/>
  <c r="AG16" s="1"/>
  <c r="AB38"/>
  <c r="AG38" s="1"/>
  <c r="AJ38" s="1"/>
  <c r="AK38" s="1"/>
  <c r="E41" i="12"/>
  <c r="J41" s="1"/>
  <c r="J49"/>
  <c r="K44"/>
  <c r="P38"/>
  <c r="O30"/>
  <c r="I29"/>
  <c r="T31"/>
  <c r="AG31" s="1"/>
  <c r="F22"/>
  <c r="K22" s="1"/>
  <c r="I15"/>
  <c r="K13"/>
  <c r="O8"/>
  <c r="K9"/>
  <c r="I11"/>
  <c r="K7"/>
  <c r="Q9"/>
  <c r="G191"/>
  <c r="D31"/>
  <c r="I31" s="1"/>
  <c r="F46"/>
  <c r="E12"/>
  <c r="J12" s="1"/>
  <c r="I49"/>
  <c r="I44"/>
  <c r="O45"/>
  <c r="O35"/>
  <c r="T46"/>
  <c r="AG46" s="1"/>
  <c r="T12"/>
  <c r="AG12" s="1"/>
  <c r="V22"/>
  <c r="AI22" s="1"/>
  <c r="G144"/>
  <c r="W191"/>
  <c r="D16"/>
  <c r="J15"/>
  <c r="I14"/>
  <c r="I8"/>
  <c r="L8" s="1"/>
  <c r="J9"/>
  <c r="K10"/>
  <c r="J7"/>
  <c r="E46"/>
  <c r="P30"/>
  <c r="N28"/>
  <c r="D46"/>
  <c r="I46" s="1"/>
  <c r="T41"/>
  <c r="AG41" s="1"/>
  <c r="AJ41" s="1"/>
  <c r="BI29" s="1"/>
  <c r="D12"/>
  <c r="I12" s="1"/>
  <c r="Q29"/>
  <c r="V16"/>
  <c r="AI16" s="1"/>
  <c r="L40"/>
  <c r="AR40" s="1"/>
  <c r="L26"/>
  <c r="AR26" s="1"/>
  <c r="L24"/>
  <c r="AR24" s="1"/>
  <c r="L21"/>
  <c r="AR21" s="1"/>
  <c r="AB157"/>
  <c r="AB191" s="1"/>
  <c r="Q15"/>
  <c r="Q11"/>
  <c r="F12"/>
  <c r="K12" s="1"/>
  <c r="E16"/>
  <c r="O16" s="1"/>
  <c r="Q14"/>
  <c r="L28"/>
  <c r="E31"/>
  <c r="J31" s="1"/>
  <c r="AJ11"/>
  <c r="AK11" s="1"/>
  <c r="L39"/>
  <c r="AR39" s="1"/>
  <c r="L25"/>
  <c r="AR25" s="1"/>
  <c r="L23"/>
  <c r="AR23" s="1"/>
  <c r="L20"/>
  <c r="AR20" s="1"/>
  <c r="I36"/>
  <c r="L36" s="1"/>
  <c r="N36"/>
  <c r="Q44"/>
  <c r="R44" s="1"/>
  <c r="AJ15"/>
  <c r="AK15" s="1"/>
  <c r="AJ13"/>
  <c r="AK13" s="1"/>
  <c r="P36"/>
  <c r="F31"/>
  <c r="T22"/>
  <c r="AG22" s="1"/>
  <c r="D41"/>
  <c r="I41" s="1"/>
  <c r="F27"/>
  <c r="K27" s="1"/>
  <c r="D22"/>
  <c r="I22" s="1"/>
  <c r="F16"/>
  <c r="N42"/>
  <c r="N35"/>
  <c r="O13"/>
  <c r="Q13" s="1"/>
  <c r="P8"/>
  <c r="N7"/>
  <c r="Q7" s="1"/>
  <c r="AJ35"/>
  <c r="AK35" s="1"/>
  <c r="AJ7"/>
  <c r="AK7" s="1"/>
  <c r="T27"/>
  <c r="AG27" s="1"/>
  <c r="T16"/>
  <c r="F41"/>
  <c r="K41" s="1"/>
  <c r="D27"/>
  <c r="I27" s="1"/>
  <c r="J29"/>
  <c r="AJ38"/>
  <c r="AK38" s="1"/>
  <c r="AJ14"/>
  <c r="AK14" s="1"/>
  <c r="U27"/>
  <c r="AH27" s="1"/>
  <c r="U22"/>
  <c r="AH22" s="1"/>
  <c r="U16"/>
  <c r="AH16" s="1"/>
  <c r="V12"/>
  <c r="N85" i="10"/>
  <c r="N63"/>
  <c r="N12"/>
  <c r="P132"/>
  <c r="P37"/>
  <c r="N153"/>
  <c r="N16"/>
  <c r="P38"/>
  <c r="BI117"/>
  <c r="AJ60"/>
  <c r="AK60" s="1"/>
  <c r="P179"/>
  <c r="W88"/>
  <c r="AJ88" s="1"/>
  <c r="AK88" s="1"/>
  <c r="L74"/>
  <c r="AR74" s="1"/>
  <c r="BI23"/>
  <c r="W41"/>
  <c r="AJ41" s="1"/>
  <c r="AK41" s="1"/>
  <c r="AJ86"/>
  <c r="AK86" s="1"/>
  <c r="N93"/>
  <c r="Q93" s="1"/>
  <c r="R93" s="1"/>
  <c r="O179"/>
  <c r="P110"/>
  <c r="N59"/>
  <c r="N84"/>
  <c r="N106"/>
  <c r="N131"/>
  <c r="N110"/>
  <c r="N46"/>
  <c r="N38"/>
  <c r="N37"/>
  <c r="P16"/>
  <c r="P12"/>
  <c r="W110"/>
  <c r="AJ110" s="1"/>
  <c r="AK110" s="1"/>
  <c r="P178"/>
  <c r="O106"/>
  <c r="O132"/>
  <c r="AJ69"/>
  <c r="AK69" s="1"/>
  <c r="BI75"/>
  <c r="O157"/>
  <c r="BI71"/>
  <c r="BI70"/>
  <c r="BI120"/>
  <c r="BI24"/>
  <c r="W157"/>
  <c r="AJ157" s="1"/>
  <c r="AK157" s="1"/>
  <c r="BI122"/>
  <c r="L69"/>
  <c r="P153"/>
  <c r="O63"/>
  <c r="O84"/>
  <c r="O59"/>
  <c r="O178"/>
  <c r="O153"/>
  <c r="P106"/>
  <c r="AH74" i="1"/>
  <c r="AJ70"/>
  <c r="AK70" s="1"/>
  <c r="BI31" i="12"/>
  <c r="BH172" i="9"/>
  <c r="BI172" i="12"/>
  <c r="N132" i="1"/>
  <c r="L132"/>
  <c r="BI212" i="8"/>
  <c r="AJ64" i="1"/>
  <c r="AK64" s="1"/>
  <c r="AH69"/>
  <c r="W182" i="10"/>
  <c r="AJ182" s="1"/>
  <c r="AK182" s="1"/>
  <c r="I144"/>
  <c r="N132"/>
  <c r="AJ61" i="1"/>
  <c r="AK61" s="1"/>
  <c r="AJ10" i="12"/>
  <c r="AK10" s="1"/>
  <c r="AJ9"/>
  <c r="AK9" s="1"/>
  <c r="AJ8"/>
  <c r="AK8" s="1"/>
  <c r="AJ24"/>
  <c r="AK24" s="1"/>
  <c r="AJ19"/>
  <c r="AJ18" i="1"/>
  <c r="K187" i="8"/>
  <c r="P184"/>
  <c r="Q184" s="1"/>
  <c r="L184"/>
  <c r="BH125" i="11"/>
  <c r="BL125" s="1"/>
  <c r="BK125" s="1"/>
  <c r="BH31" i="13"/>
  <c r="BL31" s="1"/>
  <c r="BK31" s="1"/>
  <c r="K93" i="8"/>
  <c r="L90"/>
  <c r="P90"/>
  <c r="Q90" s="1"/>
  <c r="BL104" i="13"/>
  <c r="AJ108" i="1"/>
  <c r="AK108" s="1"/>
  <c r="AG182"/>
  <c r="AG88"/>
  <c r="AI153"/>
  <c r="AJ117"/>
  <c r="AK117" s="1"/>
  <c r="K191" i="7"/>
  <c r="BH123" i="13"/>
  <c r="AJ49" i="12"/>
  <c r="AK49" s="1"/>
  <c r="AJ45"/>
  <c r="AK45" s="1"/>
  <c r="AJ44"/>
  <c r="AK44" s="1"/>
  <c r="AJ43"/>
  <c r="AK43" s="1"/>
  <c r="AJ40"/>
  <c r="AK40" s="1"/>
  <c r="AJ30"/>
  <c r="AK30" s="1"/>
  <c r="AJ29"/>
  <c r="AK29" s="1"/>
  <c r="AJ28"/>
  <c r="AK28" s="1"/>
  <c r="AB157" i="11"/>
  <c r="AG157" s="1"/>
  <c r="AH163" i="1"/>
  <c r="AH116"/>
  <c r="L17"/>
  <c r="AR17" s="1"/>
  <c r="AJ21" i="12"/>
  <c r="AJ17"/>
  <c r="AH22" i="1"/>
  <c r="AI69"/>
  <c r="AI12"/>
  <c r="AI97" i="11"/>
  <c r="BJ58" s="1"/>
  <c r="AJ26" i="12"/>
  <c r="AK26" s="1"/>
  <c r="AB16" i="11"/>
  <c r="AG16" s="1"/>
  <c r="AJ20" i="1"/>
  <c r="AK20" s="1"/>
  <c r="O44"/>
  <c r="G46" i="10"/>
  <c r="BI164"/>
  <c r="BI167"/>
  <c r="AJ163"/>
  <c r="AK163" s="1"/>
  <c r="BI169"/>
  <c r="P63"/>
  <c r="P84"/>
  <c r="P59"/>
  <c r="O131"/>
  <c r="O110"/>
  <c r="AJ159" i="1"/>
  <c r="AK159" s="1"/>
  <c r="AI163"/>
  <c r="AG110"/>
  <c r="AG16"/>
  <c r="AH16"/>
  <c r="AI16"/>
  <c r="AG106"/>
  <c r="AI106"/>
  <c r="AH12"/>
  <c r="AH106"/>
  <c r="AJ9"/>
  <c r="AK9" s="1"/>
  <c r="AJ8"/>
  <c r="AK8" s="1"/>
  <c r="AJ11"/>
  <c r="AK11" s="1"/>
  <c r="AI74"/>
  <c r="AI121"/>
  <c r="AI168"/>
  <c r="AG74"/>
  <c r="AJ164"/>
  <c r="AK164" s="1"/>
  <c r="AJ119"/>
  <c r="AK119" s="1"/>
  <c r="BI28" i="10"/>
  <c r="AG153" i="1"/>
  <c r="AJ148"/>
  <c r="AK148" s="1"/>
  <c r="AG157"/>
  <c r="AH157"/>
  <c r="AI157"/>
  <c r="AG59"/>
  <c r="AH153"/>
  <c r="AJ150"/>
  <c r="AK150" s="1"/>
  <c r="AJ149"/>
  <c r="AK149" s="1"/>
  <c r="AJ152"/>
  <c r="AK152" s="1"/>
  <c r="BH78" i="8"/>
  <c r="BH172"/>
  <c r="O138"/>
  <c r="Q138" s="1"/>
  <c r="L138"/>
  <c r="J140"/>
  <c r="AJ140"/>
  <c r="AK140" s="1"/>
  <c r="O93" i="7"/>
  <c r="BH31"/>
  <c r="BH172"/>
  <c r="BH172" i="11"/>
  <c r="BL172" s="1"/>
  <c r="BK172" s="1"/>
  <c r="BI78" i="1"/>
  <c r="BH125" i="13"/>
  <c r="BH172"/>
  <c r="BL172" s="1"/>
  <c r="BK172" s="1"/>
  <c r="BI28" i="7"/>
  <c r="J88" i="1"/>
  <c r="L86"/>
  <c r="L88" s="1"/>
  <c r="AR88" s="1"/>
  <c r="O172"/>
  <c r="L172"/>
  <c r="BI213" i="8"/>
  <c r="BI216"/>
  <c r="AJ165" i="1"/>
  <c r="AK165" s="1"/>
  <c r="AJ84"/>
  <c r="AK84" s="1"/>
  <c r="AJ131"/>
  <c r="AK131" s="1"/>
  <c r="AH16" i="13"/>
  <c r="AH50" s="1"/>
  <c r="BI11" s="1"/>
  <c r="D148" i="14" s="1"/>
  <c r="D185" s="1"/>
  <c r="BH172" i="1"/>
  <c r="P137"/>
  <c r="K140"/>
  <c r="BH125" i="8"/>
  <c r="O187" i="7"/>
  <c r="J191"/>
  <c r="BH78" i="11"/>
  <c r="BL78" s="1"/>
  <c r="BK78" s="1"/>
  <c r="BI31" i="1"/>
  <c r="BH125" i="9"/>
  <c r="BI125"/>
  <c r="BI125" i="12"/>
  <c r="BH78" i="13"/>
  <c r="AJ131" i="12"/>
  <c r="AK131" s="1"/>
  <c r="L133" i="1"/>
  <c r="L135" s="1"/>
  <c r="AR135" s="1"/>
  <c r="AI50" i="11"/>
  <c r="BJ11" s="1"/>
  <c r="D161" i="14" s="1"/>
  <c r="D198" s="1"/>
  <c r="W135" i="10"/>
  <c r="AJ71" i="1"/>
  <c r="AK71" s="1"/>
  <c r="AJ178"/>
  <c r="AK178" s="1"/>
  <c r="AG85" i="11"/>
  <c r="AG69" i="1"/>
  <c r="AB110" i="11"/>
  <c r="AJ25" i="12"/>
  <c r="AK25" s="1"/>
  <c r="AJ26" i="1"/>
  <c r="AK26" s="1"/>
  <c r="AJ25"/>
  <c r="AK25" s="1"/>
  <c r="AJ24"/>
  <c r="AK24" s="1"/>
  <c r="AG178" i="11"/>
  <c r="AG132"/>
  <c r="AG163" i="1"/>
  <c r="AJ84" i="11"/>
  <c r="AK84" s="1"/>
  <c r="AG116" i="1"/>
  <c r="AJ23" i="12"/>
  <c r="AK23" s="1"/>
  <c r="AJ23" i="1"/>
  <c r="AK23" s="1"/>
  <c r="AJ17"/>
  <c r="AG22"/>
  <c r="L18" i="12"/>
  <c r="AR18" s="1"/>
  <c r="AJ22" i="10"/>
  <c r="AK22" s="1"/>
  <c r="AJ18" i="12"/>
  <c r="L19"/>
  <c r="AR19" s="1"/>
  <c r="L17"/>
  <c r="AR17" s="1"/>
  <c r="AJ20"/>
  <c r="AK20" s="1"/>
  <c r="AJ19" i="1"/>
  <c r="K41"/>
  <c r="L27"/>
  <c r="AR27" s="1"/>
  <c r="AK17" l="1"/>
  <c r="AK19"/>
  <c r="AK18"/>
  <c r="AR66" i="7"/>
  <c r="AR65"/>
  <c r="AR67"/>
  <c r="AR64"/>
  <c r="AR68"/>
  <c r="AK74" i="8"/>
  <c r="O140"/>
  <c r="J132"/>
  <c r="O132" s="1"/>
  <c r="J118"/>
  <c r="J114"/>
  <c r="J113"/>
  <c r="J108"/>
  <c r="J133"/>
  <c r="J120"/>
  <c r="J109"/>
  <c r="J131"/>
  <c r="O131" s="1"/>
  <c r="J134"/>
  <c r="J106"/>
  <c r="J117"/>
  <c r="J112"/>
  <c r="J111"/>
  <c r="J107"/>
  <c r="P93"/>
  <c r="K84"/>
  <c r="K85"/>
  <c r="K69"/>
  <c r="K59"/>
  <c r="K63"/>
  <c r="K88"/>
  <c r="K74"/>
  <c r="P140"/>
  <c r="K131"/>
  <c r="K132"/>
  <c r="K116"/>
  <c r="K110"/>
  <c r="K106"/>
  <c r="K121"/>
  <c r="K135"/>
  <c r="P187"/>
  <c r="K178"/>
  <c r="K179"/>
  <c r="K163"/>
  <c r="K153"/>
  <c r="K168"/>
  <c r="K182"/>
  <c r="K157"/>
  <c r="O93"/>
  <c r="J85"/>
  <c r="O85" s="1"/>
  <c r="J71"/>
  <c r="J67"/>
  <c r="J66"/>
  <c r="J61"/>
  <c r="J86"/>
  <c r="J73"/>
  <c r="J62"/>
  <c r="J87"/>
  <c r="J70"/>
  <c r="J84"/>
  <c r="J60"/>
  <c r="J59"/>
  <c r="O59" s="1"/>
  <c r="J65"/>
  <c r="J64"/>
  <c r="AK27" i="13"/>
  <c r="AK17" i="12"/>
  <c r="AK19"/>
  <c r="AK21"/>
  <c r="AK18"/>
  <c r="J38" i="10"/>
  <c r="J37"/>
  <c r="J22"/>
  <c r="J16"/>
  <c r="J41"/>
  <c r="L41" s="1"/>
  <c r="AR41" s="1"/>
  <c r="J27"/>
  <c r="L27" s="1"/>
  <c r="AR27" s="1"/>
  <c r="J12"/>
  <c r="AR66"/>
  <c r="AR65"/>
  <c r="AR64"/>
  <c r="AR67"/>
  <c r="AR68"/>
  <c r="O81" i="14"/>
  <c r="BI27" i="13"/>
  <c r="AG50"/>
  <c r="BH11" s="1"/>
  <c r="D147" i="14" s="1"/>
  <c r="D184" s="1"/>
  <c r="BL171" i="13"/>
  <c r="BL78" i="10"/>
  <c r="AH88" i="1"/>
  <c r="AH97" s="1"/>
  <c r="BI58" s="1"/>
  <c r="AJ178" i="9"/>
  <c r="BI168" s="1"/>
  <c r="BL125" i="13"/>
  <c r="BK125" s="1"/>
  <c r="BI124" i="11"/>
  <c r="BI76" i="10"/>
  <c r="Q10" i="12"/>
  <c r="BL169" i="13"/>
  <c r="BK169" s="1"/>
  <c r="BL219" i="8"/>
  <c r="BK219" s="1"/>
  <c r="BL164" i="13"/>
  <c r="BK164" s="1"/>
  <c r="L13" i="12"/>
  <c r="BL125" i="7"/>
  <c r="BK125" s="1"/>
  <c r="Q28" i="12"/>
  <c r="BL172" i="9"/>
  <c r="BK172" s="1"/>
  <c r="Q12" i="1"/>
  <c r="R12" s="1"/>
  <c r="BI168" i="12"/>
  <c r="BI169" i="1"/>
  <c r="BL71" i="13"/>
  <c r="BK71" s="1"/>
  <c r="AK157" i="7"/>
  <c r="AK121"/>
  <c r="AK59"/>
  <c r="O106" i="8"/>
  <c r="O84"/>
  <c r="L22" i="10"/>
  <c r="N37" i="1"/>
  <c r="BI75" i="7"/>
  <c r="BI119" i="10"/>
  <c r="BW91" s="1"/>
  <c r="BI122" i="8"/>
  <c r="BI25" i="13"/>
  <c r="L22" i="12"/>
  <c r="Q43"/>
  <c r="R43" s="1"/>
  <c r="Q16" i="1"/>
  <c r="R16" s="1"/>
  <c r="BI77" i="8"/>
  <c r="AJ40" i="1"/>
  <c r="Q42" i="12"/>
  <c r="Q45"/>
  <c r="R45" s="1"/>
  <c r="AJ37" i="11"/>
  <c r="AK37" s="1"/>
  <c r="AK37" i="7"/>
  <c r="BL31" i="10"/>
  <c r="BK31" s="1"/>
  <c r="AK22" i="7"/>
  <c r="AK12"/>
  <c r="AK168"/>
  <c r="Q31" i="1"/>
  <c r="R31" s="1"/>
  <c r="BI218" i="8"/>
  <c r="L11" i="12"/>
  <c r="Q38" i="1"/>
  <c r="R38" s="1"/>
  <c r="L45" i="12"/>
  <c r="W37" i="7"/>
  <c r="AJ37" s="1"/>
  <c r="BI27" s="1"/>
  <c r="BI217" i="8"/>
  <c r="BI75" i="1"/>
  <c r="BI122"/>
  <c r="Q132"/>
  <c r="R132" s="1"/>
  <c r="AJ135" i="8"/>
  <c r="AK135" s="1"/>
  <c r="L29" i="12"/>
  <c r="L14"/>
  <c r="Q83" i="1"/>
  <c r="R83" s="1"/>
  <c r="AJ16"/>
  <c r="BI24" s="1"/>
  <c r="BL78" i="7"/>
  <c r="BK78" s="1"/>
  <c r="BI74" i="10"/>
  <c r="Q106" i="1"/>
  <c r="R106" s="1"/>
  <c r="L46"/>
  <c r="Q130"/>
  <c r="R130" s="1"/>
  <c r="BL125"/>
  <c r="BK125" s="1"/>
  <c r="AK16"/>
  <c r="AB22" i="11"/>
  <c r="AB50" s="1"/>
  <c r="AC50" s="1"/>
  <c r="AC163"/>
  <c r="AH163" s="1"/>
  <c r="BL151" i="13"/>
  <c r="BL172" i="7"/>
  <c r="BK172" s="1"/>
  <c r="BL78" i="8"/>
  <c r="BK78" s="1"/>
  <c r="AJ116" i="1"/>
  <c r="BI119" s="1"/>
  <c r="BW91" s="1"/>
  <c r="J46"/>
  <c r="BI74" i="8"/>
  <c r="L38" i="12"/>
  <c r="O46" i="1"/>
  <c r="Q44"/>
  <c r="R44" s="1"/>
  <c r="BI26" i="7"/>
  <c r="AK16"/>
  <c r="AK106" i="1"/>
  <c r="L41" i="12"/>
  <c r="Q38"/>
  <c r="R38" s="1"/>
  <c r="L10"/>
  <c r="L35"/>
  <c r="O140" i="1"/>
  <c r="AJ134"/>
  <c r="AK134" s="1"/>
  <c r="BI121" i="10"/>
  <c r="BL70" i="13"/>
  <c r="BK70" s="1"/>
  <c r="BI57" i="12"/>
  <c r="BL31" i="7"/>
  <c r="BK31" s="1"/>
  <c r="BH77" i="10"/>
  <c r="BL77" s="1"/>
  <c r="BK77" s="1"/>
  <c r="BK57" i="13"/>
  <c r="O31" i="12"/>
  <c r="BI71" i="8"/>
  <c r="O187" i="1"/>
  <c r="J140"/>
  <c r="J191"/>
  <c r="BK171" i="13"/>
  <c r="L93" i="1"/>
  <c r="BI58" i="12"/>
  <c r="BH58"/>
  <c r="BJ58"/>
  <c r="BL78" i="13"/>
  <c r="BK78" s="1"/>
  <c r="BI27" i="1"/>
  <c r="BL78"/>
  <c r="BK78" s="1"/>
  <c r="Q30" i="12"/>
  <c r="BI168" i="10"/>
  <c r="AJ106" i="1"/>
  <c r="BI117" s="1"/>
  <c r="BH58" i="13"/>
  <c r="J16" i="12"/>
  <c r="BL31" i="9"/>
  <c r="BK31" s="1"/>
  <c r="BI165" i="10"/>
  <c r="BI29"/>
  <c r="BN151" i="13"/>
  <c r="BH166"/>
  <c r="BI72" i="8"/>
  <c r="BW137" s="1"/>
  <c r="BI165"/>
  <c r="AJ88"/>
  <c r="AK88" s="1"/>
  <c r="AJ182"/>
  <c r="AK182" s="1"/>
  <c r="BI118"/>
  <c r="BI73"/>
  <c r="BI121"/>
  <c r="BI119"/>
  <c r="BW136" s="1"/>
  <c r="BI70"/>
  <c r="BI167"/>
  <c r="BI168"/>
  <c r="BL78" i="9"/>
  <c r="BK78" s="1"/>
  <c r="BI170" i="12"/>
  <c r="BH31"/>
  <c r="BL31" s="1"/>
  <c r="BK31" s="1"/>
  <c r="AK116" i="1"/>
  <c r="R187"/>
  <c r="AJ157"/>
  <c r="BI165" s="1"/>
  <c r="AK157"/>
  <c r="BI28"/>
  <c r="AK41" i="12"/>
  <c r="AK88" i="1"/>
  <c r="BL125" i="8"/>
  <c r="BK125" s="1"/>
  <c r="BI75"/>
  <c r="AC168" i="12"/>
  <c r="AJ168" s="1"/>
  <c r="AK168" s="1"/>
  <c r="AC157"/>
  <c r="L7"/>
  <c r="L9"/>
  <c r="L49"/>
  <c r="L116" i="7"/>
  <c r="L121"/>
  <c r="AR121" s="1"/>
  <c r="L43" i="12"/>
  <c r="L88" i="7"/>
  <c r="AR88" s="1"/>
  <c r="L44" i="12"/>
  <c r="AJ50" i="10"/>
  <c r="AJ51" s="1"/>
  <c r="BM11" s="1"/>
  <c r="AJ31" i="12"/>
  <c r="L121" i="10"/>
  <c r="AR121" s="1"/>
  <c r="AH50" i="12"/>
  <c r="BI11" s="1"/>
  <c r="D144" i="14" s="1"/>
  <c r="D181" s="1"/>
  <c r="L135" i="7"/>
  <c r="AR135" s="1"/>
  <c r="Q85" i="1"/>
  <c r="R85" s="1"/>
  <c r="Q63"/>
  <c r="R63" s="1"/>
  <c r="AJ88"/>
  <c r="BI76" s="1"/>
  <c r="I116"/>
  <c r="I144" s="1"/>
  <c r="AC116" i="11"/>
  <c r="AH116" s="1"/>
  <c r="N84" i="1"/>
  <c r="AJ121"/>
  <c r="BI120" s="1"/>
  <c r="AI144"/>
  <c r="BJ105" s="1"/>
  <c r="I97"/>
  <c r="AJ180"/>
  <c r="AK180" s="1"/>
  <c r="P37"/>
  <c r="L63"/>
  <c r="L113"/>
  <c r="AR113" s="1"/>
  <c r="J116"/>
  <c r="K69"/>
  <c r="L182" i="7"/>
  <c r="AR182" s="1"/>
  <c r="J97"/>
  <c r="L74"/>
  <c r="AR74" s="1"/>
  <c r="L163"/>
  <c r="L168"/>
  <c r="AR168" s="1"/>
  <c r="BM58" i="13"/>
  <c r="BM105"/>
  <c r="BK105"/>
  <c r="BL168"/>
  <c r="BK168" s="1"/>
  <c r="BL58" i="12"/>
  <c r="BN58"/>
  <c r="BH77"/>
  <c r="BL77" s="1"/>
  <c r="BK77" s="1"/>
  <c r="T37"/>
  <c r="AG37" s="1"/>
  <c r="N12"/>
  <c r="N46"/>
  <c r="L116" i="10"/>
  <c r="W97"/>
  <c r="AJ97"/>
  <c r="AJ98" s="1"/>
  <c r="BM58" s="1"/>
  <c r="BI27"/>
  <c r="J187" i="8"/>
  <c r="L140" i="1"/>
  <c r="O36"/>
  <c r="L36"/>
  <c r="AK59"/>
  <c r="AJ59"/>
  <c r="AG131" i="11"/>
  <c r="AJ131" s="1"/>
  <c r="AK131" s="1"/>
  <c r="AE131"/>
  <c r="L161" i="1"/>
  <c r="AR161" s="1"/>
  <c r="I163"/>
  <c r="I191" s="1"/>
  <c r="L177"/>
  <c r="N177"/>
  <c r="P93" i="7"/>
  <c r="K97"/>
  <c r="BK104" i="13"/>
  <c r="BM104"/>
  <c r="O78" i="1"/>
  <c r="L78"/>
  <c r="L64"/>
  <c r="AR64" s="1"/>
  <c r="J69"/>
  <c r="O59"/>
  <c r="Q59" s="1"/>
  <c r="R59" s="1"/>
  <c r="L59"/>
  <c r="P140" i="7"/>
  <c r="K144"/>
  <c r="O91" i="1"/>
  <c r="J93"/>
  <c r="BI122" i="7"/>
  <c r="L31" i="1"/>
  <c r="L38"/>
  <c r="K116"/>
  <c r="L16"/>
  <c r="N157"/>
  <c r="Q157" s="1"/>
  <c r="R157" s="1"/>
  <c r="L157"/>
  <c r="N153"/>
  <c r="Q153" s="1"/>
  <c r="R153" s="1"/>
  <c r="L153"/>
  <c r="N179"/>
  <c r="Q179" s="1"/>
  <c r="R179" s="1"/>
  <c r="L179"/>
  <c r="BH74" i="12"/>
  <c r="BL74" s="1"/>
  <c r="BK74" s="1"/>
  <c r="BH75"/>
  <c r="BL75" s="1"/>
  <c r="BK75" s="1"/>
  <c r="O125" i="1"/>
  <c r="L125"/>
  <c r="O110"/>
  <c r="Q110" s="1"/>
  <c r="R110" s="1"/>
  <c r="L110"/>
  <c r="L65"/>
  <c r="AR65" s="1"/>
  <c r="BN105" i="13"/>
  <c r="P43" i="1"/>
  <c r="K46"/>
  <c r="BI171" i="8"/>
  <c r="Q187" i="1"/>
  <c r="BH171" s="1"/>
  <c r="BL171" s="1"/>
  <c r="BK171" s="1"/>
  <c r="AK121"/>
  <c r="AE37" i="11"/>
  <c r="AJ46" i="12"/>
  <c r="BI30" s="1"/>
  <c r="W178" i="7"/>
  <c r="AJ178" s="1"/>
  <c r="L27" i="12"/>
  <c r="J144" i="7"/>
  <c r="BM199" i="8"/>
  <c r="BL172" i="1"/>
  <c r="BK172" s="1"/>
  <c r="AK63"/>
  <c r="AJ16" i="12"/>
  <c r="BI24" s="1"/>
  <c r="BI215" i="8"/>
  <c r="I50" i="10"/>
  <c r="Q8" i="12"/>
  <c r="Q35"/>
  <c r="D37"/>
  <c r="I37" s="1"/>
  <c r="L15"/>
  <c r="N31"/>
  <c r="AJ16" i="13"/>
  <c r="AK16" s="1"/>
  <c r="BL31" i="1"/>
  <c r="BK31" s="1"/>
  <c r="BL125" i="12"/>
  <c r="BK125" s="1"/>
  <c r="AC22" i="11"/>
  <c r="AH22" s="1"/>
  <c r="AG50" i="1"/>
  <c r="BH11" s="1"/>
  <c r="D163" i="14" s="1"/>
  <c r="D200" s="1"/>
  <c r="AI97" i="1"/>
  <c r="BJ58" s="1"/>
  <c r="AH144"/>
  <c r="BI105" s="1"/>
  <c r="AI50"/>
  <c r="BJ11" s="1"/>
  <c r="D165" i="14" s="1"/>
  <c r="D202" s="1"/>
  <c r="AJ63" i="1"/>
  <c r="BI71" s="1"/>
  <c r="AH191"/>
  <c r="BI152" s="1"/>
  <c r="BI167" i="11"/>
  <c r="AJ78" i="7"/>
  <c r="W84"/>
  <c r="AJ84" s="1"/>
  <c r="W131"/>
  <c r="AJ131" s="1"/>
  <c r="BI169" i="8"/>
  <c r="BI117"/>
  <c r="BL172"/>
  <c r="BK172" s="1"/>
  <c r="BI120"/>
  <c r="BI166"/>
  <c r="BW135" s="1"/>
  <c r="BI164"/>
  <c r="BI26" i="13"/>
  <c r="O12" i="12"/>
  <c r="P46"/>
  <c r="K46"/>
  <c r="N16"/>
  <c r="I16"/>
  <c r="J46"/>
  <c r="O46"/>
  <c r="AJ22"/>
  <c r="BI25" s="1"/>
  <c r="BW91" s="1"/>
  <c r="AS19"/>
  <c r="AT19" s="1"/>
  <c r="BI28"/>
  <c r="AJ12"/>
  <c r="BI23" s="1"/>
  <c r="AC110"/>
  <c r="E37"/>
  <c r="E50" s="1"/>
  <c r="P12"/>
  <c r="AC121"/>
  <c r="AC135"/>
  <c r="AJ135" s="1"/>
  <c r="AK135" s="1"/>
  <c r="AC116"/>
  <c r="AJ36"/>
  <c r="AK36"/>
  <c r="K16"/>
  <c r="P16"/>
  <c r="L12"/>
  <c r="Q36"/>
  <c r="AB110"/>
  <c r="AI12"/>
  <c r="AI50" s="1"/>
  <c r="BJ11" s="1"/>
  <c r="D145" i="14" s="1"/>
  <c r="D182" s="1"/>
  <c r="V50" i="12"/>
  <c r="AG16"/>
  <c r="P31"/>
  <c r="K31"/>
  <c r="L31" s="1"/>
  <c r="F37"/>
  <c r="U50"/>
  <c r="W50" i="10"/>
  <c r="L88"/>
  <c r="AR88" s="1"/>
  <c r="Q110"/>
  <c r="R110" s="1"/>
  <c r="Q59"/>
  <c r="R59" s="1"/>
  <c r="Q63"/>
  <c r="R63" s="1"/>
  <c r="Q132"/>
  <c r="R132" s="1"/>
  <c r="Q106"/>
  <c r="R106" s="1"/>
  <c r="Q153"/>
  <c r="R153" s="1"/>
  <c r="K50"/>
  <c r="W191"/>
  <c r="Q84"/>
  <c r="R84" s="1"/>
  <c r="AJ191"/>
  <c r="BK152" s="1"/>
  <c r="L106"/>
  <c r="BI118"/>
  <c r="N179"/>
  <c r="Q179" s="1"/>
  <c r="R179" s="1"/>
  <c r="L179"/>
  <c r="L182"/>
  <c r="AR182" s="1"/>
  <c r="N178"/>
  <c r="Q178" s="1"/>
  <c r="R178" s="1"/>
  <c r="L178"/>
  <c r="N157"/>
  <c r="Q157" s="1"/>
  <c r="R157" s="1"/>
  <c r="L157"/>
  <c r="L168"/>
  <c r="AR168" s="1"/>
  <c r="L163"/>
  <c r="L153"/>
  <c r="L132"/>
  <c r="I97"/>
  <c r="BI72"/>
  <c r="BW92" s="1"/>
  <c r="AK97"/>
  <c r="I191"/>
  <c r="AK110" i="1"/>
  <c r="AJ110"/>
  <c r="BI170" i="10"/>
  <c r="O85"/>
  <c r="J97"/>
  <c r="AK69" i="1"/>
  <c r="AJ69"/>
  <c r="BI72" s="1"/>
  <c r="BW92" s="1"/>
  <c r="AK16" i="12"/>
  <c r="K144" i="10"/>
  <c r="P131"/>
  <c r="Q131" s="1"/>
  <c r="R131" s="1"/>
  <c r="AH50" i="1"/>
  <c r="BI11" s="1"/>
  <c r="D164" i="14" s="1"/>
  <c r="D201" s="1"/>
  <c r="J191" i="10"/>
  <c r="J46"/>
  <c r="K50" i="7"/>
  <c r="AJ22" i="1"/>
  <c r="BI25" s="1"/>
  <c r="BW93" s="1"/>
  <c r="AK74"/>
  <c r="AJ74"/>
  <c r="BI73" s="1"/>
  <c r="AJ135" i="10"/>
  <c r="AK135" s="1"/>
  <c r="W144"/>
  <c r="BI121" i="1"/>
  <c r="BI124" i="8"/>
  <c r="J144" i="10"/>
  <c r="P85"/>
  <c r="K97"/>
  <c r="AS18" i="12"/>
  <c r="AT18" s="1"/>
  <c r="AS20"/>
  <c r="AT20" s="1"/>
  <c r="AG97" i="1"/>
  <c r="BH58" s="1"/>
  <c r="L110" i="10"/>
  <c r="L85"/>
  <c r="L84"/>
  <c r="L18" i="1"/>
  <c r="AR18" s="1"/>
  <c r="I22"/>
  <c r="J22"/>
  <c r="L39"/>
  <c r="L41" s="1"/>
  <c r="AR41" s="1"/>
  <c r="I41"/>
  <c r="K22"/>
  <c r="L20"/>
  <c r="AR20" s="1"/>
  <c r="L41" i="7"/>
  <c r="AR41" s="1"/>
  <c r="L22"/>
  <c r="AS23" i="12"/>
  <c r="AT23" s="1"/>
  <c r="AS25"/>
  <c r="AT25" s="1"/>
  <c r="AS17"/>
  <c r="AT17" s="1"/>
  <c r="AS24"/>
  <c r="AT24" s="1"/>
  <c r="AS26"/>
  <c r="AT26" s="1"/>
  <c r="AS40"/>
  <c r="AT40" s="1"/>
  <c r="AS39"/>
  <c r="AT39" s="1"/>
  <c r="AR50"/>
  <c r="BI25" i="10"/>
  <c r="BW93" s="1"/>
  <c r="AK50"/>
  <c r="AJ27" i="1"/>
  <c r="AK27"/>
  <c r="AJ27" i="12"/>
  <c r="AB116" i="11"/>
  <c r="AG144" i="1"/>
  <c r="BH105" s="1"/>
  <c r="BI74" i="11"/>
  <c r="AB163"/>
  <c r="AG191" i="1"/>
  <c r="BH152" s="1"/>
  <c r="AJ178" i="11"/>
  <c r="AK178" s="1"/>
  <c r="AG110"/>
  <c r="AB69"/>
  <c r="AC69"/>
  <c r="AH69" s="1"/>
  <c r="BI168" i="1"/>
  <c r="BI121" i="12"/>
  <c r="P140" i="1"/>
  <c r="Q137"/>
  <c r="R137" s="1"/>
  <c r="BI74"/>
  <c r="BI28" i="13"/>
  <c r="O178" i="1"/>
  <c r="Q172"/>
  <c r="R172" s="1"/>
  <c r="AK153"/>
  <c r="AJ153"/>
  <c r="AK168"/>
  <c r="AJ168"/>
  <c r="BI167" s="1"/>
  <c r="AK12"/>
  <c r="AJ12"/>
  <c r="AK163"/>
  <c r="AJ163"/>
  <c r="BI166" s="1"/>
  <c r="BW89" s="1"/>
  <c r="K191" i="10"/>
  <c r="BI166"/>
  <c r="BW89" s="1"/>
  <c r="L19" i="1"/>
  <c r="AR19" s="1"/>
  <c r="AS21" i="12"/>
  <c r="AT21" s="1"/>
  <c r="BL125" i="9"/>
  <c r="BK125" s="1"/>
  <c r="AI191" i="1"/>
  <c r="BJ152" s="1"/>
  <c r="L135" i="10"/>
  <c r="AR135" s="1"/>
  <c r="L131"/>
  <c r="L63"/>
  <c r="L59"/>
  <c r="AK40" i="1" l="1"/>
  <c r="AK41" s="1"/>
  <c r="AC25" i="11"/>
  <c r="AC14"/>
  <c r="AC12"/>
  <c r="AC40"/>
  <c r="AC39"/>
  <c r="AC38"/>
  <c r="AC26"/>
  <c r="AC23"/>
  <c r="AC15"/>
  <c r="AC13"/>
  <c r="AR159" i="7"/>
  <c r="AR160"/>
  <c r="AR162"/>
  <c r="AR158"/>
  <c r="AR161"/>
  <c r="AR115"/>
  <c r="AR114"/>
  <c r="AR111"/>
  <c r="AR113"/>
  <c r="AR112"/>
  <c r="AR18"/>
  <c r="AR21"/>
  <c r="AR19"/>
  <c r="AR20"/>
  <c r="AR17"/>
  <c r="O187" i="8"/>
  <c r="J179"/>
  <c r="O179" s="1"/>
  <c r="J165"/>
  <c r="J161"/>
  <c r="J160"/>
  <c r="J155"/>
  <c r="J180"/>
  <c r="J167"/>
  <c r="J156"/>
  <c r="J181"/>
  <c r="J164"/>
  <c r="J154"/>
  <c r="J178"/>
  <c r="O178" s="1"/>
  <c r="J153"/>
  <c r="O153" s="1"/>
  <c r="J159"/>
  <c r="J158"/>
  <c r="AR21" i="10"/>
  <c r="AR19"/>
  <c r="AR17"/>
  <c r="AR18"/>
  <c r="AR20"/>
  <c r="AR161"/>
  <c r="AR160"/>
  <c r="AR159"/>
  <c r="AR158"/>
  <c r="AR162"/>
  <c r="AR113"/>
  <c r="AR112"/>
  <c r="AR111"/>
  <c r="AR114"/>
  <c r="AR115"/>
  <c r="O80" i="14"/>
  <c r="N81"/>
  <c r="R81" s="1"/>
  <c r="Q81" s="1"/>
  <c r="AU17" i="12"/>
  <c r="AJ41" i="1"/>
  <c r="BI29" s="1"/>
  <c r="BH164" i="10"/>
  <c r="BL164" s="1"/>
  <c r="BK164" s="1"/>
  <c r="BI167" i="12"/>
  <c r="BH23" i="1"/>
  <c r="AK22"/>
  <c r="AJ50" i="7"/>
  <c r="BW90" i="10"/>
  <c r="AG22" i="11"/>
  <c r="AJ22" s="1"/>
  <c r="BK11" i="10"/>
  <c r="BK17" s="1"/>
  <c r="AS161" i="1"/>
  <c r="AT161" s="1"/>
  <c r="AS113"/>
  <c r="AT113" s="1"/>
  <c r="AK135"/>
  <c r="AK144" s="1"/>
  <c r="AS65"/>
  <c r="AT65" s="1"/>
  <c r="AS88" i="10"/>
  <c r="AT88" s="1"/>
  <c r="AJ97" i="8"/>
  <c r="AJ98" s="1"/>
  <c r="BM58" s="1"/>
  <c r="T50" i="12"/>
  <c r="J88" i="8"/>
  <c r="AJ192" i="10"/>
  <c r="BM152" s="1"/>
  <c r="BH122" i="1"/>
  <c r="BL122" s="1"/>
  <c r="BK122" s="1"/>
  <c r="BH28" i="12"/>
  <c r="BL28" s="1"/>
  <c r="BK28" s="1"/>
  <c r="BH24" i="1"/>
  <c r="BL24" s="1"/>
  <c r="BK24" s="1"/>
  <c r="AK22" i="12"/>
  <c r="BH118" i="10"/>
  <c r="BL118" s="1"/>
  <c r="BK118" s="1"/>
  <c r="BH28" i="1"/>
  <c r="BL28" s="1"/>
  <c r="BK28" s="1"/>
  <c r="BI27" i="11"/>
  <c r="BK58" i="10"/>
  <c r="BY67" s="1"/>
  <c r="AJ135" i="1"/>
  <c r="BI123" s="1"/>
  <c r="BH117"/>
  <c r="BL117" s="1"/>
  <c r="BK117" s="1"/>
  <c r="BW90"/>
  <c r="AJ144" i="8"/>
  <c r="AH144" s="1"/>
  <c r="BI105" s="1"/>
  <c r="BI121" i="11"/>
  <c r="AK50" i="7"/>
  <c r="AK51" s="1"/>
  <c r="J97" i="1"/>
  <c r="J135" i="8"/>
  <c r="AJ191"/>
  <c r="AH191" s="1"/>
  <c r="BI152" s="1"/>
  <c r="BH75" i="1"/>
  <c r="BL75" s="1"/>
  <c r="BK75" s="1"/>
  <c r="AE22" i="11"/>
  <c r="BI123" i="8"/>
  <c r="Q31" i="12"/>
  <c r="N37"/>
  <c r="AJ37"/>
  <c r="BI27" s="1"/>
  <c r="J69" i="8"/>
  <c r="BH70" i="10"/>
  <c r="BL70" s="1"/>
  <c r="BK70" s="1"/>
  <c r="BI170" i="8"/>
  <c r="BH70" i="1"/>
  <c r="O37" i="12"/>
  <c r="D50"/>
  <c r="AC191"/>
  <c r="BI26"/>
  <c r="J144" i="1"/>
  <c r="BH71"/>
  <c r="BL71" s="1"/>
  <c r="BK71" s="1"/>
  <c r="BK58" i="13"/>
  <c r="D87" i="14"/>
  <c r="D7"/>
  <c r="BH122" i="10"/>
  <c r="BL122" s="1"/>
  <c r="BK122" s="1"/>
  <c r="BH117"/>
  <c r="BL117" s="1"/>
  <c r="BK117" s="1"/>
  <c r="BH71"/>
  <c r="BL71" s="1"/>
  <c r="BK71" s="1"/>
  <c r="BH59" i="13"/>
  <c r="BJ59"/>
  <c r="BJ61" s="1"/>
  <c r="BJ60" s="1"/>
  <c r="BI59"/>
  <c r="BI61" s="1"/>
  <c r="BI60" s="1"/>
  <c r="BH106"/>
  <c r="BH108" s="1"/>
  <c r="BH107" s="1"/>
  <c r="BJ106"/>
  <c r="BJ108" s="1"/>
  <c r="BJ107" s="1"/>
  <c r="BI106"/>
  <c r="BI108" s="1"/>
  <c r="BI107" s="1"/>
  <c r="BI24"/>
  <c r="BJ73"/>
  <c r="BH61"/>
  <c r="BH60" s="1"/>
  <c r="BI76" i="8"/>
  <c r="AU19" i="12"/>
  <c r="AY19" s="1"/>
  <c r="N19" s="1"/>
  <c r="BH118" i="1"/>
  <c r="BH169"/>
  <c r="BL169" s="1"/>
  <c r="BK169" s="1"/>
  <c r="AK182"/>
  <c r="AK191" s="1"/>
  <c r="AS68" i="7"/>
  <c r="AT68" s="1"/>
  <c r="BL105" i="13"/>
  <c r="AJ50"/>
  <c r="BK11" s="1"/>
  <c r="Q85" i="10"/>
  <c r="R85" s="1"/>
  <c r="AS67" i="7"/>
  <c r="AT67" s="1"/>
  <c r="AS66"/>
  <c r="AT66" s="1"/>
  <c r="AK97" i="8"/>
  <c r="BL58" s="1"/>
  <c r="AS74" i="7"/>
  <c r="AT74" s="1"/>
  <c r="Q46" i="12"/>
  <c r="R46" s="1"/>
  <c r="AJ182" i="1"/>
  <c r="BI170" s="1"/>
  <c r="BH165"/>
  <c r="BL165" s="1"/>
  <c r="BK165" s="1"/>
  <c r="L116"/>
  <c r="L144" s="1"/>
  <c r="AS64" i="7"/>
  <c r="AT64" s="1"/>
  <c r="AS65"/>
  <c r="AT65" s="1"/>
  <c r="BI199" i="8"/>
  <c r="BM152" i="13"/>
  <c r="BK152"/>
  <c r="BN57" i="12"/>
  <c r="BL57"/>
  <c r="BM57"/>
  <c r="BK57"/>
  <c r="AG50"/>
  <c r="BH11" s="1"/>
  <c r="D143" i="14" s="1"/>
  <c r="D180" s="1"/>
  <c r="L46" i="12"/>
  <c r="BH74" i="10"/>
  <c r="BL74" s="1"/>
  <c r="BK74" s="1"/>
  <c r="J74" i="8"/>
  <c r="BH199"/>
  <c r="BK199"/>
  <c r="O131" i="1"/>
  <c r="Q125"/>
  <c r="R125" s="1"/>
  <c r="O93"/>
  <c r="Q91"/>
  <c r="R91" s="1"/>
  <c r="L69"/>
  <c r="L97" s="1"/>
  <c r="O84"/>
  <c r="Q78"/>
  <c r="R78" s="1"/>
  <c r="BL57" i="13"/>
  <c r="BN57"/>
  <c r="L163" i="1"/>
  <c r="L191" s="1"/>
  <c r="O37"/>
  <c r="Q36"/>
  <c r="R36" s="1"/>
  <c r="BH164"/>
  <c r="Q177"/>
  <c r="R177" s="1"/>
  <c r="N178"/>
  <c r="BI70"/>
  <c r="P46"/>
  <c r="Q43"/>
  <c r="R43" s="1"/>
  <c r="BJ199" i="8"/>
  <c r="AK191" i="10"/>
  <c r="AK192" s="1"/>
  <c r="BN152" s="1"/>
  <c r="BI168" i="7"/>
  <c r="Q16" i="12"/>
  <c r="R16" s="1"/>
  <c r="Q12"/>
  <c r="R12" s="1"/>
  <c r="J63" i="8"/>
  <c r="O63" s="1"/>
  <c r="AJ97" i="1"/>
  <c r="AJ98" s="1"/>
  <c r="BM58" s="1"/>
  <c r="BI121" i="7"/>
  <c r="BI74"/>
  <c r="AK191" i="8"/>
  <c r="BL152" s="1"/>
  <c r="L16" i="12"/>
  <c r="AW19"/>
  <c r="BA19" s="1"/>
  <c r="P19" s="1"/>
  <c r="J37"/>
  <c r="J50" s="1"/>
  <c r="I50"/>
  <c r="BI123"/>
  <c r="AC144"/>
  <c r="AB144"/>
  <c r="AB145" s="1"/>
  <c r="K37"/>
  <c r="K50" s="1"/>
  <c r="P37"/>
  <c r="F50"/>
  <c r="J50" i="10"/>
  <c r="BH168"/>
  <c r="BL168" s="1"/>
  <c r="BK168" s="1"/>
  <c r="BH165"/>
  <c r="BL165" s="1"/>
  <c r="BK165" s="1"/>
  <c r="L191"/>
  <c r="BH169"/>
  <c r="BL169" s="1"/>
  <c r="BK169" s="1"/>
  <c r="AK98"/>
  <c r="BN58" s="1"/>
  <c r="BL58"/>
  <c r="BY44" s="1"/>
  <c r="BH121"/>
  <c r="BL121" s="1"/>
  <c r="BK121" s="1"/>
  <c r="BJ166" i="13"/>
  <c r="BL166" s="1"/>
  <c r="BK166" s="1"/>
  <c r="AK12" i="12"/>
  <c r="J50" i="1"/>
  <c r="BI118"/>
  <c r="AK46" i="12"/>
  <c r="AK31"/>
  <c r="L38" i="10"/>
  <c r="O38"/>
  <c r="Q38" s="1"/>
  <c r="R38" s="1"/>
  <c r="L16"/>
  <c r="O16"/>
  <c r="Q16" s="1"/>
  <c r="R16" s="1"/>
  <c r="O46"/>
  <c r="Q46" s="1"/>
  <c r="R46" s="1"/>
  <c r="L46"/>
  <c r="L37"/>
  <c r="O37"/>
  <c r="Q37" s="1"/>
  <c r="R37" s="1"/>
  <c r="L12"/>
  <c r="O12"/>
  <c r="Q12" s="1"/>
  <c r="R12" s="1"/>
  <c r="J121" i="8"/>
  <c r="J110"/>
  <c r="O110" s="1"/>
  <c r="L144" i="10"/>
  <c r="BV67"/>
  <c r="D59" i="14"/>
  <c r="D126" s="1"/>
  <c r="BN58" i="13"/>
  <c r="BL58"/>
  <c r="BN152"/>
  <c r="BL152"/>
  <c r="AV21" i="12"/>
  <c r="AZ21" s="1"/>
  <c r="O21" s="1"/>
  <c r="AU21"/>
  <c r="AY21" s="1"/>
  <c r="AW21"/>
  <c r="BA21" s="1"/>
  <c r="P21" s="1"/>
  <c r="BI23" i="1"/>
  <c r="AK51" i="10"/>
  <c r="BN11" s="1"/>
  <c r="BL11"/>
  <c r="BI164" i="1"/>
  <c r="AK50" i="13"/>
  <c r="BL199" i="8"/>
  <c r="BN199"/>
  <c r="AG116" i="11"/>
  <c r="AE116"/>
  <c r="AB144"/>
  <c r="BI26" i="1"/>
  <c r="AW39" i="12"/>
  <c r="BA39" s="1"/>
  <c r="AU39"/>
  <c r="AY39" s="1"/>
  <c r="AV39"/>
  <c r="AZ39" s="1"/>
  <c r="AV26"/>
  <c r="AZ26" s="1"/>
  <c r="O26" s="1"/>
  <c r="AU26"/>
  <c r="AY26" s="1"/>
  <c r="AW26"/>
  <c r="BA26" s="1"/>
  <c r="P26" s="1"/>
  <c r="AS50"/>
  <c r="AU23"/>
  <c r="AY23" s="1"/>
  <c r="AW23"/>
  <c r="BA23" s="1"/>
  <c r="AV23"/>
  <c r="AZ23" s="1"/>
  <c r="O16" i="7"/>
  <c r="O37"/>
  <c r="J50"/>
  <c r="I50" i="1"/>
  <c r="L22"/>
  <c r="L50" s="1"/>
  <c r="AV20" i="12"/>
  <c r="AZ20" s="1"/>
  <c r="O20" s="1"/>
  <c r="AU20"/>
  <c r="AY20" s="1"/>
  <c r="AW20"/>
  <c r="BA20" s="1"/>
  <c r="P20" s="1"/>
  <c r="AK144" i="8"/>
  <c r="J116"/>
  <c r="L97" i="10"/>
  <c r="AK97" i="1"/>
  <c r="L27" i="7"/>
  <c r="AR27" s="1"/>
  <c r="Q140" i="1"/>
  <c r="R140"/>
  <c r="AG69" i="11"/>
  <c r="AE69"/>
  <c r="AB97"/>
  <c r="AC97" s="1"/>
  <c r="BI168"/>
  <c r="AG163"/>
  <c r="AE163"/>
  <c r="AB191"/>
  <c r="AK27" i="12"/>
  <c r="AU40"/>
  <c r="AY40" s="1"/>
  <c r="AV40"/>
  <c r="AZ40" s="1"/>
  <c r="O40" s="1"/>
  <c r="AW40"/>
  <c r="BA40" s="1"/>
  <c r="P40" s="1"/>
  <c r="AV24"/>
  <c r="AZ24" s="1"/>
  <c r="O24" s="1"/>
  <c r="AU24"/>
  <c r="AY24" s="1"/>
  <c r="AW24"/>
  <c r="BA24" s="1"/>
  <c r="P24" s="1"/>
  <c r="AU25"/>
  <c r="AY25" s="1"/>
  <c r="AW25"/>
  <c r="BA25" s="1"/>
  <c r="P25" s="1"/>
  <c r="AV25"/>
  <c r="AZ25" s="1"/>
  <c r="O25" s="1"/>
  <c r="O38" i="7"/>
  <c r="O12"/>
  <c r="AV18" i="12"/>
  <c r="AZ18" s="1"/>
  <c r="O18" s="1"/>
  <c r="AU18"/>
  <c r="AY18" s="1"/>
  <c r="AW18"/>
  <c r="BA18" s="1"/>
  <c r="P18" s="1"/>
  <c r="AJ144" i="10"/>
  <c r="AK144"/>
  <c r="BI123"/>
  <c r="AK50" i="1" l="1"/>
  <c r="AK51" s="1"/>
  <c r="BN11" s="1"/>
  <c r="H93" i="14" s="1"/>
  <c r="AC86" i="11"/>
  <c r="AC133" s="1"/>
  <c r="AC60"/>
  <c r="AC107" s="1"/>
  <c r="AC59"/>
  <c r="AC72"/>
  <c r="AC119" s="1"/>
  <c r="AC166" s="1"/>
  <c r="AC61"/>
  <c r="AC85"/>
  <c r="AC132" s="1"/>
  <c r="AC73"/>
  <c r="AC120" s="1"/>
  <c r="AC167" s="1"/>
  <c r="AC62"/>
  <c r="AC109" s="1"/>
  <c r="AC156" s="1"/>
  <c r="AC87"/>
  <c r="AC134" s="1"/>
  <c r="AC181" s="1"/>
  <c r="AC70"/>
  <c r="AK22"/>
  <c r="AI50" i="7"/>
  <c r="AG50"/>
  <c r="AH50"/>
  <c r="AJ50" i="1"/>
  <c r="AJ51" s="1"/>
  <c r="BM11" s="1"/>
  <c r="AS160"/>
  <c r="AT160" s="1"/>
  <c r="BL23"/>
  <c r="BK23" s="1"/>
  <c r="AJ192" i="8"/>
  <c r="BM152" s="1"/>
  <c r="AJ50" i="12"/>
  <c r="BK11" s="1"/>
  <c r="BK17" s="1"/>
  <c r="AS121" i="1"/>
  <c r="AT121" s="1"/>
  <c r="BK58" i="8"/>
  <c r="BX114" s="1"/>
  <c r="BK11" i="7"/>
  <c r="AJ144" i="1"/>
  <c r="BK105" s="1"/>
  <c r="BX67" s="1"/>
  <c r="AG50" i="11"/>
  <c r="BH11" s="1"/>
  <c r="D159" i="14" s="1"/>
  <c r="D196" s="1"/>
  <c r="AS66" i="1"/>
  <c r="AT66" s="1"/>
  <c r="AS64"/>
  <c r="AT64" s="1"/>
  <c r="D20" i="14"/>
  <c r="AK6" s="1"/>
  <c r="BZ67" i="10"/>
  <c r="CB67" s="1"/>
  <c r="AS182" i="1"/>
  <c r="AT182" s="1"/>
  <c r="AS159"/>
  <c r="AT159" s="1"/>
  <c r="AS112" i="10"/>
  <c r="AT112" s="1"/>
  <c r="AJ51" i="7"/>
  <c r="BM11" s="1"/>
  <c r="D91" i="14" s="1"/>
  <c r="AS168" i="1"/>
  <c r="AT168" s="1"/>
  <c r="AS158"/>
  <c r="AT158" s="1"/>
  <c r="AS64" i="10"/>
  <c r="AT64" s="1"/>
  <c r="AS67" i="1"/>
  <c r="AT67" s="1"/>
  <c r="AS135"/>
  <c r="AT135" s="1"/>
  <c r="AS17" i="10"/>
  <c r="AT17" s="1"/>
  <c r="AS158"/>
  <c r="AT158" s="1"/>
  <c r="AG97" i="8"/>
  <c r="BH58" s="1"/>
  <c r="AI97"/>
  <c r="BJ58" s="1"/>
  <c r="D153" i="14" s="1"/>
  <c r="D190" s="1"/>
  <c r="AS112" i="1"/>
  <c r="AT112" s="1"/>
  <c r="AS68" i="10"/>
  <c r="AT68" s="1"/>
  <c r="AS67"/>
  <c r="AT67" s="1"/>
  <c r="AG144" i="8"/>
  <c r="BH105" s="1"/>
  <c r="BL118" i="1"/>
  <c r="BK118" s="1"/>
  <c r="AR97" i="10"/>
  <c r="AS74"/>
  <c r="AT74" s="1"/>
  <c r="AS74" i="1"/>
  <c r="AT74" s="1"/>
  <c r="AS66" i="10"/>
  <c r="AT66" s="1"/>
  <c r="AS88" i="1"/>
  <c r="AT88" s="1"/>
  <c r="AS114"/>
  <c r="AT114" s="1"/>
  <c r="AS111"/>
  <c r="AT111" s="1"/>
  <c r="AS65" i="10"/>
  <c r="AT65" s="1"/>
  <c r="AC108" i="11"/>
  <c r="AC155" s="1"/>
  <c r="AU74" i="7"/>
  <c r="BN11"/>
  <c r="AS114" i="10"/>
  <c r="AT114" s="1"/>
  <c r="AS160"/>
  <c r="AT160" s="1"/>
  <c r="AS162"/>
  <c r="AT162" s="1"/>
  <c r="AS168"/>
  <c r="AT168" s="1"/>
  <c r="AS182"/>
  <c r="AT182" s="1"/>
  <c r="AS111"/>
  <c r="AT111" s="1"/>
  <c r="AS113"/>
  <c r="AT113" s="1"/>
  <c r="AS115"/>
  <c r="AT115" s="1"/>
  <c r="AS159"/>
  <c r="AT159" s="1"/>
  <c r="AS161"/>
  <c r="AT161" s="1"/>
  <c r="AS121"/>
  <c r="AT121" s="1"/>
  <c r="AS135"/>
  <c r="AT135" s="1"/>
  <c r="AH97" i="8"/>
  <c r="BI58" s="1"/>
  <c r="D152" i="14" s="1"/>
  <c r="D189" s="1"/>
  <c r="BL11" i="7"/>
  <c r="H24" i="14" s="1"/>
  <c r="BK105" i="8"/>
  <c r="D36" i="14" s="1"/>
  <c r="D103" s="1"/>
  <c r="D33"/>
  <c r="D100" s="1"/>
  <c r="AI144" i="8"/>
  <c r="BJ105" s="1"/>
  <c r="AJ145"/>
  <c r="BM105" s="1"/>
  <c r="AJ51" i="13"/>
  <c r="BM11" s="1"/>
  <c r="D89" i="14" s="1"/>
  <c r="AG191" i="8"/>
  <c r="BH152" s="1"/>
  <c r="J157"/>
  <c r="O157" s="1"/>
  <c r="BH75" i="10"/>
  <c r="BL75" s="1"/>
  <c r="BK75" s="1"/>
  <c r="Q37" i="12"/>
  <c r="R37" s="1"/>
  <c r="BL70" i="1"/>
  <c r="BK70" s="1"/>
  <c r="AS112" i="7"/>
  <c r="AT112" s="1"/>
  <c r="BJ167" i="13"/>
  <c r="BL167" s="1"/>
  <c r="BK167" s="1"/>
  <c r="AK98" i="8"/>
  <c r="BN58" s="1"/>
  <c r="H90" i="14" s="1"/>
  <c r="J182" i="8"/>
  <c r="Q178" i="1"/>
  <c r="BH168" s="1"/>
  <c r="BL168" s="1"/>
  <c r="BK168" s="1"/>
  <c r="AI191" i="8"/>
  <c r="BJ152" s="1"/>
  <c r="BK152"/>
  <c r="BV114" s="1"/>
  <c r="CA114" s="1"/>
  <c r="BL152" i="10"/>
  <c r="H59" i="14" s="1"/>
  <c r="BH24" i="12"/>
  <c r="BL24" s="1"/>
  <c r="BK24" s="1"/>
  <c r="H87" i="14"/>
  <c r="H7"/>
  <c r="D90"/>
  <c r="D10"/>
  <c r="BJ153" i="13"/>
  <c r="BJ155" s="1"/>
  <c r="BJ154" s="1"/>
  <c r="BH153"/>
  <c r="BH155" s="1"/>
  <c r="BH154" s="1"/>
  <c r="BI153"/>
  <c r="BI155" s="1"/>
  <c r="BI154" s="1"/>
  <c r="BH73"/>
  <c r="BL73" s="1"/>
  <c r="BK73" s="1"/>
  <c r="BL106"/>
  <c r="BJ123"/>
  <c r="BJ76"/>
  <c r="BL59"/>
  <c r="BL61" s="1"/>
  <c r="AV19" i="12"/>
  <c r="AZ19" s="1"/>
  <c r="BH23"/>
  <c r="BL23" s="1"/>
  <c r="BK23" s="1"/>
  <c r="BH30"/>
  <c r="BL30" s="1"/>
  <c r="BK30" s="1"/>
  <c r="AR144" i="10"/>
  <c r="AT69" i="7"/>
  <c r="AW69" s="1"/>
  <c r="AS115"/>
  <c r="AT115" s="1"/>
  <c r="AS113"/>
  <c r="AT113" s="1"/>
  <c r="AS21" i="10"/>
  <c r="AT21" s="1"/>
  <c r="AJ191" i="1"/>
  <c r="BK152" s="1"/>
  <c r="BL164"/>
  <c r="BK164" s="1"/>
  <c r="R178"/>
  <c r="AS121" i="7"/>
  <c r="AT121" s="1"/>
  <c r="AS114"/>
  <c r="AT114" s="1"/>
  <c r="AS111"/>
  <c r="AT111" s="1"/>
  <c r="AS161"/>
  <c r="AT161" s="1"/>
  <c r="AS158"/>
  <c r="AT158" s="1"/>
  <c r="AS168"/>
  <c r="AT168" s="1"/>
  <c r="AS160"/>
  <c r="AT160" s="1"/>
  <c r="AS41"/>
  <c r="AT41" s="1"/>
  <c r="AS159"/>
  <c r="AT159" s="1"/>
  <c r="AS162"/>
  <c r="AT162" s="1"/>
  <c r="BH120" i="13"/>
  <c r="BJ120"/>
  <c r="AS19" i="10"/>
  <c r="AT19" s="1"/>
  <c r="J163" i="8"/>
  <c r="J97"/>
  <c r="J168"/>
  <c r="R37" i="1"/>
  <c r="Q37"/>
  <c r="Q84"/>
  <c r="R84"/>
  <c r="R93"/>
  <c r="Q93"/>
  <c r="Q131"/>
  <c r="R131"/>
  <c r="R46"/>
  <c r="Q46"/>
  <c r="AK192" i="8"/>
  <c r="BN152" s="1"/>
  <c r="BK58" i="1"/>
  <c r="D39" i="14" s="1"/>
  <c r="D106" s="1"/>
  <c r="AS41" i="1"/>
  <c r="AT41" s="1"/>
  <c r="AC16" i="11"/>
  <c r="AE16" s="1"/>
  <c r="L37" i="12"/>
  <c r="L50" s="1"/>
  <c r="AR191" i="10"/>
  <c r="AS27"/>
  <c r="AT27" s="1"/>
  <c r="AS18"/>
  <c r="AT18" s="1"/>
  <c r="AS20"/>
  <c r="AT20" s="1"/>
  <c r="AR50"/>
  <c r="H33" i="14"/>
  <c r="L50" i="10"/>
  <c r="BH119" i="13"/>
  <c r="AK37" i="12"/>
  <c r="BJ119" i="13"/>
  <c r="BH30" i="10"/>
  <c r="BL30" s="1"/>
  <c r="BK30" s="1"/>
  <c r="BH23"/>
  <c r="BL23" s="1"/>
  <c r="BK23" s="1"/>
  <c r="BH27"/>
  <c r="BL27" s="1"/>
  <c r="BK27" s="1"/>
  <c r="BH24"/>
  <c r="BL24" s="1"/>
  <c r="BK24" s="1"/>
  <c r="BH28"/>
  <c r="BL28" s="1"/>
  <c r="BK28" s="1"/>
  <c r="AK145"/>
  <c r="BN105" s="1"/>
  <c r="BL105"/>
  <c r="AK145" i="1"/>
  <c r="BN105" s="1"/>
  <c r="BL105"/>
  <c r="N18" i="12"/>
  <c r="Q18" s="1"/>
  <c r="BB18"/>
  <c r="BC18" s="1"/>
  <c r="BI25" i="11"/>
  <c r="AC191"/>
  <c r="AJ163"/>
  <c r="AK163" s="1"/>
  <c r="AG191"/>
  <c r="BH152" s="1"/>
  <c r="AJ69"/>
  <c r="AK69" s="1"/>
  <c r="AG97"/>
  <c r="BH58" s="1"/>
  <c r="BH124" i="1"/>
  <c r="BL124" s="1"/>
  <c r="BK124" s="1"/>
  <c r="BL58"/>
  <c r="AK98"/>
  <c r="BN58" s="1"/>
  <c r="AS18"/>
  <c r="AT18" s="1"/>
  <c r="AS17"/>
  <c r="AT17" s="1"/>
  <c r="AS27"/>
  <c r="AT27" s="1"/>
  <c r="P23" i="12"/>
  <c r="P27" s="1"/>
  <c r="BA27"/>
  <c r="BB39"/>
  <c r="BC39" s="1"/>
  <c r="N39"/>
  <c r="AY41"/>
  <c r="AS17" i="7"/>
  <c r="AT17" s="1"/>
  <c r="AS182"/>
  <c r="AT182" s="1"/>
  <c r="AS88"/>
  <c r="AT88" s="1"/>
  <c r="AS135"/>
  <c r="AT135" s="1"/>
  <c r="BV91" i="8"/>
  <c r="H49" i="14"/>
  <c r="N21" i="12"/>
  <c r="Q21" s="1"/>
  <c r="BB21"/>
  <c r="BC21" s="1"/>
  <c r="D22" i="14"/>
  <c r="BK17" i="13"/>
  <c r="BX91" i="8"/>
  <c r="H23" i="14"/>
  <c r="AS41" i="10"/>
  <c r="AT41" s="1"/>
  <c r="AS19" i="1"/>
  <c r="AT19" s="1"/>
  <c r="AC27" i="11"/>
  <c r="AS21" i="7"/>
  <c r="AT21" s="1"/>
  <c r="AS18"/>
  <c r="AT18" s="1"/>
  <c r="BK105" i="10"/>
  <c r="AJ145"/>
  <c r="BM105" s="1"/>
  <c r="N25" i="12"/>
  <c r="Q25" s="1"/>
  <c r="BB25"/>
  <c r="N24"/>
  <c r="Q24" s="1"/>
  <c r="BB24"/>
  <c r="N40"/>
  <c r="Q40" s="1"/>
  <c r="BB40"/>
  <c r="BC40" s="1"/>
  <c r="BL152" i="1"/>
  <c r="AK192"/>
  <c r="BN152" s="1"/>
  <c r="AK145" i="8"/>
  <c r="BN105" s="1"/>
  <c r="BL105"/>
  <c r="N20" i="12"/>
  <c r="Q20" s="1"/>
  <c r="BB20"/>
  <c r="BC20" s="1"/>
  <c r="AH38" i="11"/>
  <c r="AJ38" s="1"/>
  <c r="AK38" s="1"/>
  <c r="AE38"/>
  <c r="AH12"/>
  <c r="AJ12" s="1"/>
  <c r="AK12" s="1"/>
  <c r="AE12"/>
  <c r="AZ27" i="12"/>
  <c r="O23"/>
  <c r="O27" s="1"/>
  <c r="N23"/>
  <c r="AY27"/>
  <c r="BB23"/>
  <c r="AV17"/>
  <c r="AZ17" s="1"/>
  <c r="AY17"/>
  <c r="AW17"/>
  <c r="BA17" s="1"/>
  <c r="AT50"/>
  <c r="N26"/>
  <c r="Q26" s="1"/>
  <c r="BB26"/>
  <c r="O39"/>
  <c r="O41" s="1"/>
  <c r="AZ41"/>
  <c r="BA41"/>
  <c r="P39"/>
  <c r="P41" s="1"/>
  <c r="AC144" i="11"/>
  <c r="AJ116"/>
  <c r="AK116" s="1"/>
  <c r="AG144"/>
  <c r="BH105" s="1"/>
  <c r="AK51" i="13"/>
  <c r="BN11" s="1"/>
  <c r="BL11"/>
  <c r="H22" i="14" s="1"/>
  <c r="BZ44" i="10"/>
  <c r="H20" i="14"/>
  <c r="AS27" i="7"/>
  <c r="AT27" s="1"/>
  <c r="AS20" i="1"/>
  <c r="AT20" s="1"/>
  <c r="J144" i="8"/>
  <c r="AC41" i="11"/>
  <c r="AS19" i="7"/>
  <c r="AT19" s="1"/>
  <c r="AS20"/>
  <c r="AT20" s="1"/>
  <c r="H13" i="14" l="1"/>
  <c r="BL11" i="1"/>
  <c r="BZ44" s="1"/>
  <c r="BZ67" i="7"/>
  <c r="BZ91" i="8"/>
  <c r="AH56" i="14" s="1"/>
  <c r="CA91" i="8"/>
  <c r="CA67" i="10"/>
  <c r="BZ114" i="8"/>
  <c r="AU17" i="1"/>
  <c r="AW27"/>
  <c r="AU27"/>
  <c r="AV27"/>
  <c r="BK11"/>
  <c r="BZ67" s="1"/>
  <c r="AK50" i="12"/>
  <c r="BL11" s="1"/>
  <c r="BZ44" i="7"/>
  <c r="D151" i="14"/>
  <c r="D188" s="1"/>
  <c r="D23"/>
  <c r="AK9" s="1"/>
  <c r="AJ145" i="1"/>
  <c r="BM105" s="1"/>
  <c r="D52" i="14"/>
  <c r="D119" s="1"/>
  <c r="D24"/>
  <c r="AK10" s="1"/>
  <c r="AJ51" i="12"/>
  <c r="BM11" s="1"/>
  <c r="D8" i="14" s="1"/>
  <c r="BX67" i="12"/>
  <c r="D74" i="14"/>
  <c r="D21"/>
  <c r="D75" s="1"/>
  <c r="BV44" i="10"/>
  <c r="CA44" s="1"/>
  <c r="AF56" i="14" s="1"/>
  <c r="BK64" i="8"/>
  <c r="D49" i="14"/>
  <c r="D116" s="1"/>
  <c r="D129" s="1"/>
  <c r="D11"/>
  <c r="D9"/>
  <c r="BW114" i="8"/>
  <c r="BH27" i="12"/>
  <c r="BL27" s="1"/>
  <c r="BK27" s="1"/>
  <c r="N74" i="7"/>
  <c r="AY74"/>
  <c r="H11" i="14"/>
  <c r="H91"/>
  <c r="AW74" i="7"/>
  <c r="AV74"/>
  <c r="AU69"/>
  <c r="AY69" s="1"/>
  <c r="H10" i="14"/>
  <c r="BL76" i="13"/>
  <c r="BK76" s="1"/>
  <c r="BL120"/>
  <c r="BK120" s="1"/>
  <c r="BL123"/>
  <c r="BK123" s="1"/>
  <c r="BL119"/>
  <c r="BK119" s="1"/>
  <c r="BL60"/>
  <c r="BL108"/>
  <c r="BL107" s="1"/>
  <c r="H26" i="14"/>
  <c r="AV121" i="7"/>
  <c r="AU41"/>
  <c r="N41" s="1"/>
  <c r="AJ192" i="1"/>
  <c r="BM152" s="1"/>
  <c r="AV69" i="7"/>
  <c r="AZ69" s="1"/>
  <c r="BM153" i="13"/>
  <c r="BJ170"/>
  <c r="AT116" i="7"/>
  <c r="AV116" s="1"/>
  <c r="AZ116" s="1"/>
  <c r="D93" i="14"/>
  <c r="D13"/>
  <c r="H89"/>
  <c r="H9"/>
  <c r="AV74" i="10"/>
  <c r="AU121"/>
  <c r="BM59" i="13"/>
  <c r="BK59"/>
  <c r="BJ72"/>
  <c r="BK106"/>
  <c r="BM106"/>
  <c r="BH72"/>
  <c r="O19" i="12"/>
  <c r="Q19" s="1"/>
  <c r="BB19"/>
  <c r="BC19" s="1"/>
  <c r="AU88" i="1"/>
  <c r="AU182"/>
  <c r="AU113"/>
  <c r="AU168"/>
  <c r="AU66"/>
  <c r="AU161"/>
  <c r="AU74"/>
  <c r="AU159"/>
  <c r="AU18"/>
  <c r="AU41"/>
  <c r="AU20"/>
  <c r="AU19"/>
  <c r="AU114"/>
  <c r="AU67"/>
  <c r="AU65"/>
  <c r="AU121"/>
  <c r="AU112"/>
  <c r="AU160"/>
  <c r="AU135"/>
  <c r="AU121" i="7"/>
  <c r="AW121"/>
  <c r="AW168"/>
  <c r="AV168"/>
  <c r="AZ168" s="1"/>
  <c r="AU168"/>
  <c r="BB168"/>
  <c r="BC168" s="1"/>
  <c r="AT163"/>
  <c r="BK153" i="13"/>
  <c r="J191" i="8"/>
  <c r="BH121" i="1"/>
  <c r="BL121" s="1"/>
  <c r="BK121" s="1"/>
  <c r="BH74"/>
  <c r="BL74" s="1"/>
  <c r="BK74" s="1"/>
  <c r="BH77"/>
  <c r="BL77" s="1"/>
  <c r="BK77" s="1"/>
  <c r="BH27"/>
  <c r="BL27" s="1"/>
  <c r="BK27" s="1"/>
  <c r="BH30"/>
  <c r="BL30" s="1"/>
  <c r="BK30" s="1"/>
  <c r="AW121" i="10"/>
  <c r="BA121" s="1"/>
  <c r="BY67" i="1"/>
  <c r="AH16" i="11"/>
  <c r="AJ16" s="1"/>
  <c r="AK16" s="1"/>
  <c r="BB27" i="12"/>
  <c r="P69" i="7"/>
  <c r="BA69"/>
  <c r="AS191" i="10"/>
  <c r="AZ22" i="12"/>
  <c r="AZ50" s="1"/>
  <c r="BI12" s="1"/>
  <c r="E144" i="14" s="1"/>
  <c r="E181" s="1"/>
  <c r="O17" i="12"/>
  <c r="BW91" i="8"/>
  <c r="H36" i="14"/>
  <c r="BN59" i="13"/>
  <c r="AS97" i="7"/>
  <c r="BB41" i="12"/>
  <c r="BC41" s="1"/>
  <c r="AS97" i="1"/>
  <c r="BY44"/>
  <c r="H39" i="14"/>
  <c r="AC135" i="11"/>
  <c r="AS144" i="10"/>
  <c r="AC74" i="11"/>
  <c r="AC180"/>
  <c r="AC182" s="1"/>
  <c r="AV135" i="10"/>
  <c r="AU135"/>
  <c r="BB135"/>
  <c r="BC135" s="1"/>
  <c r="AW135"/>
  <c r="AH132" i="11"/>
  <c r="AJ132" s="1"/>
  <c r="AK132" s="1"/>
  <c r="AE132"/>
  <c r="BA22" i="12"/>
  <c r="BA50" s="1"/>
  <c r="BJ12" s="1"/>
  <c r="E145" i="14" s="1"/>
  <c r="E182" s="1"/>
  <c r="P17" i="12"/>
  <c r="P22" s="1"/>
  <c r="P50" s="1"/>
  <c r="BJ10" s="1"/>
  <c r="C145" i="14" s="1"/>
  <c r="C182" s="1"/>
  <c r="D65"/>
  <c r="D132" s="1"/>
  <c r="BV67" i="1"/>
  <c r="BW67" s="1"/>
  <c r="AH27" i="11"/>
  <c r="AJ27" s="1"/>
  <c r="AE27"/>
  <c r="AK8" i="14"/>
  <c r="D76"/>
  <c r="AT22" i="7"/>
  <c r="AS50"/>
  <c r="AH59" i="11"/>
  <c r="AJ59" s="1"/>
  <c r="AK59" s="1"/>
  <c r="AE59"/>
  <c r="AH41"/>
  <c r="AE41"/>
  <c r="AU27" i="7"/>
  <c r="AV27"/>
  <c r="AW27"/>
  <c r="BI119" i="11"/>
  <c r="BW91" s="1"/>
  <c r="AY22" i="12"/>
  <c r="N17"/>
  <c r="BB17"/>
  <c r="BC17" s="1"/>
  <c r="N27"/>
  <c r="Q27" s="1"/>
  <c r="R27" s="1"/>
  <c r="Q23"/>
  <c r="BI23" i="11"/>
  <c r="BI28"/>
  <c r="H65" i="14"/>
  <c r="BV44" i="1"/>
  <c r="CA44" s="1"/>
  <c r="AK56" i="14" s="1"/>
  <c r="BX67" i="10"/>
  <c r="BW67" s="1"/>
  <c r="D46" i="14"/>
  <c r="AU88" i="10"/>
  <c r="BB88"/>
  <c r="BC88" s="1"/>
  <c r="AV88"/>
  <c r="AW88"/>
  <c r="AS97"/>
  <c r="BN106" i="13"/>
  <c r="AS144" i="7"/>
  <c r="AS191"/>
  <c r="Q39" i="12"/>
  <c r="N41"/>
  <c r="AS50" i="1"/>
  <c r="AS191"/>
  <c r="AS144"/>
  <c r="AT116" i="10"/>
  <c r="AT144" s="1"/>
  <c r="BI72" i="11"/>
  <c r="BW92" s="1"/>
  <c r="AH85"/>
  <c r="AJ85" s="1"/>
  <c r="AK85" s="1"/>
  <c r="AE85"/>
  <c r="BI166"/>
  <c r="BW89" s="1"/>
  <c r="BW93"/>
  <c r="H52" i="14"/>
  <c r="BX44" i="1"/>
  <c r="BX44" i="10"/>
  <c r="H46" i="14"/>
  <c r="AC110" i="11"/>
  <c r="AS50" i="10"/>
  <c r="AC106" i="11"/>
  <c r="AC117"/>
  <c r="AC88"/>
  <c r="AC63"/>
  <c r="AC154"/>
  <c r="AC157" s="1"/>
  <c r="AC179"/>
  <c r="D128" i="14" l="1"/>
  <c r="D115"/>
  <c r="D102"/>
  <c r="AK27" i="11"/>
  <c r="BC27" i="12"/>
  <c r="CB67" i="1"/>
  <c r="CB44" i="10"/>
  <c r="CB44" i="1"/>
  <c r="BK17"/>
  <c r="D78" i="14"/>
  <c r="D26"/>
  <c r="D80" s="1"/>
  <c r="AK51" i="12"/>
  <c r="BN11" s="1"/>
  <c r="H88" i="14" s="1"/>
  <c r="D77"/>
  <c r="BX44" i="12"/>
  <c r="H21" i="14"/>
  <c r="AK7"/>
  <c r="BW44" i="10"/>
  <c r="CA67" i="1"/>
  <c r="O22" i="12"/>
  <c r="O50" s="1"/>
  <c r="BI10" s="1"/>
  <c r="C144" i="14" s="1"/>
  <c r="C181" s="1"/>
  <c r="BL72" i="13"/>
  <c r="F182" i="14"/>
  <c r="F145"/>
  <c r="AY41" i="7"/>
  <c r="D88" i="14"/>
  <c r="N69" i="7"/>
  <c r="P74"/>
  <c r="BA74"/>
  <c r="AZ74"/>
  <c r="O74"/>
  <c r="BB22" i="12"/>
  <c r="BC22" s="1"/>
  <c r="BB69" i="7"/>
  <c r="BC69" s="1"/>
  <c r="BN108" i="13"/>
  <c r="BN107" s="1"/>
  <c r="BN61"/>
  <c r="BN60" s="1"/>
  <c r="BM108"/>
  <c r="BM107" s="1"/>
  <c r="BM61"/>
  <c r="BM60" s="1"/>
  <c r="BM155"/>
  <c r="BM154" s="1"/>
  <c r="BK155"/>
  <c r="BK154" s="1"/>
  <c r="BK108"/>
  <c r="BK107" s="1"/>
  <c r="BK61"/>
  <c r="BK60" s="1"/>
  <c r="BL170"/>
  <c r="BK170" s="1"/>
  <c r="BL153"/>
  <c r="BN153"/>
  <c r="AU116" i="7"/>
  <c r="AY116" s="1"/>
  <c r="O121"/>
  <c r="AZ121"/>
  <c r="BK72" i="13"/>
  <c r="AV41" i="7"/>
  <c r="AW41"/>
  <c r="D113" i="14"/>
  <c r="O69" i="7"/>
  <c r="AU74" i="10"/>
  <c r="N74" s="1"/>
  <c r="AW74"/>
  <c r="P74" s="1"/>
  <c r="O116" i="7"/>
  <c r="BJ26" i="12"/>
  <c r="BB74" i="10"/>
  <c r="BC74" s="1"/>
  <c r="AW116" i="7"/>
  <c r="BI24" i="11"/>
  <c r="O74" i="10"/>
  <c r="AZ74"/>
  <c r="AY121"/>
  <c r="N121"/>
  <c r="AV121"/>
  <c r="BB121"/>
  <c r="BC121" s="1"/>
  <c r="N160" i="1"/>
  <c r="AY160"/>
  <c r="AV160"/>
  <c r="O160" s="1"/>
  <c r="AV121"/>
  <c r="O121" s="1"/>
  <c r="AY121"/>
  <c r="N121"/>
  <c r="AV67"/>
  <c r="O67" s="1"/>
  <c r="N67"/>
  <c r="AY67"/>
  <c r="N27"/>
  <c r="AY27"/>
  <c r="AV20"/>
  <c r="AZ20" s="1"/>
  <c r="AY20"/>
  <c r="N20"/>
  <c r="AY18"/>
  <c r="N18"/>
  <c r="AV18"/>
  <c r="AW18" s="1"/>
  <c r="N74"/>
  <c r="AY74"/>
  <c r="AV74"/>
  <c r="AW74" s="1"/>
  <c r="N66"/>
  <c r="AV66"/>
  <c r="AW66" s="1"/>
  <c r="AY66"/>
  <c r="AY113"/>
  <c r="N113"/>
  <c r="AV113"/>
  <c r="AZ113" s="1"/>
  <c r="AV88"/>
  <c r="AW88" s="1"/>
  <c r="AY88"/>
  <c r="N88"/>
  <c r="AV135"/>
  <c r="AY135"/>
  <c r="N135"/>
  <c r="AY112"/>
  <c r="AV112"/>
  <c r="AZ112" s="1"/>
  <c r="N112"/>
  <c r="N65"/>
  <c r="AY65"/>
  <c r="AV65"/>
  <c r="AZ65" s="1"/>
  <c r="AV114"/>
  <c r="AW114" s="1"/>
  <c r="N114"/>
  <c r="AY114"/>
  <c r="AY19"/>
  <c r="AV19"/>
  <c r="AW19" s="1"/>
  <c r="N19"/>
  <c r="AY41"/>
  <c r="AV41"/>
  <c r="N41"/>
  <c r="N159"/>
  <c r="AV159"/>
  <c r="AZ159" s="1"/>
  <c r="AY159"/>
  <c r="N161"/>
  <c r="AY161"/>
  <c r="AV161"/>
  <c r="AW161" s="1"/>
  <c r="AY168"/>
  <c r="AV168"/>
  <c r="AW168" s="1"/>
  <c r="N168"/>
  <c r="AY182"/>
  <c r="N182"/>
  <c r="AV182"/>
  <c r="AW182" s="1"/>
  <c r="AY121" i="7"/>
  <c r="N121"/>
  <c r="BA121"/>
  <c r="P121"/>
  <c r="P121" i="10"/>
  <c r="AU163" i="7"/>
  <c r="BB163"/>
  <c r="BC163" s="1"/>
  <c r="AV163"/>
  <c r="AZ163" s="1"/>
  <c r="AW163"/>
  <c r="AY168"/>
  <c r="N168"/>
  <c r="BA168"/>
  <c r="P168"/>
  <c r="BJ167"/>
  <c r="O168"/>
  <c r="BW90" i="11"/>
  <c r="AH63"/>
  <c r="AJ63" s="1"/>
  <c r="AK63" s="1"/>
  <c r="AE63"/>
  <c r="AH157"/>
  <c r="AJ157" s="1"/>
  <c r="AK157" s="1"/>
  <c r="AE157"/>
  <c r="AH88"/>
  <c r="AE88"/>
  <c r="AC121"/>
  <c r="AC164"/>
  <c r="AH110"/>
  <c r="AJ110" s="1"/>
  <c r="AK110" s="1"/>
  <c r="AE110"/>
  <c r="BI75"/>
  <c r="BB116" i="10"/>
  <c r="BC116" s="1"/>
  <c r="AW116"/>
  <c r="AU116"/>
  <c r="AV116"/>
  <c r="AT144" i="1"/>
  <c r="AU111"/>
  <c r="AT50"/>
  <c r="Q41" i="12"/>
  <c r="R41" s="1"/>
  <c r="AU182" i="7"/>
  <c r="AW182"/>
  <c r="AT191"/>
  <c r="BB182"/>
  <c r="BC182" s="1"/>
  <c r="AV182"/>
  <c r="AZ182" s="1"/>
  <c r="AU135"/>
  <c r="AV135"/>
  <c r="AZ135" s="1"/>
  <c r="AT144"/>
  <c r="AW135"/>
  <c r="AT69" i="10"/>
  <c r="AT97" s="1"/>
  <c r="O88"/>
  <c r="AZ88"/>
  <c r="N88"/>
  <c r="AY88"/>
  <c r="BH26" i="12"/>
  <c r="N22"/>
  <c r="Q17"/>
  <c r="AZ27" i="7"/>
  <c r="O27"/>
  <c r="AJ41" i="11"/>
  <c r="AK41" s="1"/>
  <c r="AH50"/>
  <c r="BI11" s="1"/>
  <c r="D160" i="14" s="1"/>
  <c r="D197" s="1"/>
  <c r="BI70" i="11"/>
  <c r="AU22" i="7"/>
  <c r="AV22"/>
  <c r="AZ22" s="1"/>
  <c r="AW22"/>
  <c r="AT50"/>
  <c r="BI26" i="11"/>
  <c r="BA135" i="10"/>
  <c r="P135"/>
  <c r="N135"/>
  <c r="AY135"/>
  <c r="AH182" i="11"/>
  <c r="AE182"/>
  <c r="AH74"/>
  <c r="AJ74" s="1"/>
  <c r="AK74" s="1"/>
  <c r="AE74"/>
  <c r="AH135"/>
  <c r="AE135"/>
  <c r="BJ14" i="12"/>
  <c r="BJ13" s="1"/>
  <c r="AY50"/>
  <c r="BH12" s="1"/>
  <c r="E143" i="14" s="1"/>
  <c r="E180" s="1"/>
  <c r="AH179" i="11"/>
  <c r="AJ179" s="1"/>
  <c r="AK179" s="1"/>
  <c r="AE179"/>
  <c r="AH106"/>
  <c r="AJ106" s="1"/>
  <c r="AK106" s="1"/>
  <c r="AE106"/>
  <c r="AC153"/>
  <c r="AT191" i="1"/>
  <c r="AU158"/>
  <c r="BA88" i="10"/>
  <c r="P88"/>
  <c r="BJ76"/>
  <c r="P27" i="7"/>
  <c r="BA27"/>
  <c r="AY27"/>
  <c r="N27"/>
  <c r="BI122" i="11"/>
  <c r="BJ123" i="10"/>
  <c r="AZ135"/>
  <c r="O135"/>
  <c r="AT97" i="1"/>
  <c r="AU64"/>
  <c r="BJ29" i="12"/>
  <c r="AW88" i="7"/>
  <c r="AV88"/>
  <c r="AZ88" s="1"/>
  <c r="AU88"/>
  <c r="AT97"/>
  <c r="BW44" i="1"/>
  <c r="AK12" i="14" l="1"/>
  <c r="N116" i="7"/>
  <c r="H8" i="14"/>
  <c r="BJ73" i="10"/>
  <c r="BI14" i="12"/>
  <c r="BI13" s="1"/>
  <c r="F181" i="14"/>
  <c r="F144"/>
  <c r="Q22" i="12"/>
  <c r="Q69" i="7"/>
  <c r="R69" s="1"/>
  <c r="AZ19" i="1"/>
  <c r="O65"/>
  <c r="AW113"/>
  <c r="P113" s="1"/>
  <c r="AW160"/>
  <c r="BA160" s="1"/>
  <c r="BJ25" i="12"/>
  <c r="BX91" s="1"/>
  <c r="AZ74" i="1"/>
  <c r="AZ66"/>
  <c r="BB74" i="7"/>
  <c r="BC74" s="1"/>
  <c r="BB50" i="12"/>
  <c r="BB51" s="1"/>
  <c r="O113" i="1"/>
  <c r="AZ160"/>
  <c r="AW20"/>
  <c r="BA20" s="1"/>
  <c r="BB20" s="1"/>
  <c r="BC20" s="1"/>
  <c r="AW67"/>
  <c r="BA67" s="1"/>
  <c r="O74"/>
  <c r="O66"/>
  <c r="AW65"/>
  <c r="BA65" s="1"/>
  <c r="BB65" s="1"/>
  <c r="BC65" s="1"/>
  <c r="O20"/>
  <c r="AZ67"/>
  <c r="O112"/>
  <c r="AY74" i="10"/>
  <c r="BJ72" i="7"/>
  <c r="BX92" s="1"/>
  <c r="Q74"/>
  <c r="R74" s="1"/>
  <c r="AW112" i="1"/>
  <c r="P112" s="1"/>
  <c r="O18"/>
  <c r="AZ168"/>
  <c r="AZ161"/>
  <c r="AW121"/>
  <c r="BA121" s="1"/>
  <c r="AZ18"/>
  <c r="AZ88"/>
  <c r="AW159"/>
  <c r="P159" s="1"/>
  <c r="BA74" i="10"/>
  <c r="BN155" i="13"/>
  <c r="BN154" s="1"/>
  <c r="BL155"/>
  <c r="BL154" s="1"/>
  <c r="Q74" i="10"/>
  <c r="R74" s="1"/>
  <c r="AZ41" i="7"/>
  <c r="AZ50" s="1"/>
  <c r="BI12" s="1"/>
  <c r="E156" i="14" s="1"/>
  <c r="E193" s="1"/>
  <c r="O41" i="7"/>
  <c r="BB121"/>
  <c r="BC121" s="1"/>
  <c r="BA41"/>
  <c r="P41"/>
  <c r="BB27"/>
  <c r="AZ114" i="1"/>
  <c r="AZ27"/>
  <c r="O114"/>
  <c r="AZ182"/>
  <c r="O182"/>
  <c r="AZ121"/>
  <c r="BL26" i="12"/>
  <c r="BK26" s="1"/>
  <c r="BA116" i="7"/>
  <c r="BB116" s="1"/>
  <c r="BC116" s="1"/>
  <c r="P116"/>
  <c r="O168" i="1"/>
  <c r="O161"/>
  <c r="O88"/>
  <c r="O159"/>
  <c r="O19"/>
  <c r="O27"/>
  <c r="AZ121" i="10"/>
  <c r="O121"/>
  <c r="Q121" s="1"/>
  <c r="R121" s="1"/>
  <c r="BB144"/>
  <c r="BK106" s="1"/>
  <c r="BJ120"/>
  <c r="AW41" i="1"/>
  <c r="O41"/>
  <c r="AZ41"/>
  <c r="AZ135"/>
  <c r="O135"/>
  <c r="AW135"/>
  <c r="Q121" i="7"/>
  <c r="R121" s="1"/>
  <c r="O163"/>
  <c r="N163"/>
  <c r="AY163"/>
  <c r="BA163"/>
  <c r="P163"/>
  <c r="BJ166"/>
  <c r="BX89" s="1"/>
  <c r="Q168"/>
  <c r="R168" s="1"/>
  <c r="N88"/>
  <c r="AY88"/>
  <c r="BC50" i="12"/>
  <c r="AY64" i="1"/>
  <c r="AV64"/>
  <c r="N64"/>
  <c r="BA161"/>
  <c r="P161"/>
  <c r="BA74"/>
  <c r="P74"/>
  <c r="AJ135" i="11"/>
  <c r="AK135" s="1"/>
  <c r="BI73"/>
  <c r="AJ182"/>
  <c r="AK182" s="1"/>
  <c r="Q135" i="10"/>
  <c r="R135" s="1"/>
  <c r="P22" i="7"/>
  <c r="BA22"/>
  <c r="AY22"/>
  <c r="N22"/>
  <c r="P88" i="1"/>
  <c r="BA88"/>
  <c r="P66"/>
  <c r="BA66"/>
  <c r="Q88" i="10"/>
  <c r="R88" s="1"/>
  <c r="N135" i="7"/>
  <c r="AY135"/>
  <c r="BB191"/>
  <c r="BJ170"/>
  <c r="P182"/>
  <c r="BA182"/>
  <c r="P27" i="1"/>
  <c r="BA27"/>
  <c r="AY17"/>
  <c r="AV17"/>
  <c r="N17"/>
  <c r="P114"/>
  <c r="BA114"/>
  <c r="N116" i="10"/>
  <c r="AY116"/>
  <c r="AY144" s="1"/>
  <c r="BH106" s="1"/>
  <c r="BJ119"/>
  <c r="BX91" s="1"/>
  <c r="Q27" i="7"/>
  <c r="R27" s="1"/>
  <c r="N50" i="12"/>
  <c r="BH10" s="1"/>
  <c r="AZ97" i="7"/>
  <c r="BI59" s="1"/>
  <c r="O88"/>
  <c r="O97" s="1"/>
  <c r="BI57" s="1"/>
  <c r="P88"/>
  <c r="P97" s="1"/>
  <c r="BJ57" s="1"/>
  <c r="BA88"/>
  <c r="BA97" s="1"/>
  <c r="BJ59" s="1"/>
  <c r="P182" i="1"/>
  <c r="BA182"/>
  <c r="BA168"/>
  <c r="P168"/>
  <c r="AV158"/>
  <c r="AY158"/>
  <c r="N158"/>
  <c r="AH153" i="11"/>
  <c r="AJ153" s="1"/>
  <c r="AK153" s="1"/>
  <c r="AE153"/>
  <c r="BI117"/>
  <c r="BI169"/>
  <c r="BA18" i="1"/>
  <c r="P18"/>
  <c r="O22" i="7"/>
  <c r="AK50" i="11"/>
  <c r="BI29"/>
  <c r="AJ50"/>
  <c r="BA19" i="1"/>
  <c r="P19"/>
  <c r="AW69" i="10"/>
  <c r="AV69"/>
  <c r="AU69"/>
  <c r="BB69"/>
  <c r="BC69" s="1"/>
  <c r="BA135" i="7"/>
  <c r="P135"/>
  <c r="O135"/>
  <c r="O144" s="1"/>
  <c r="BI104" s="1"/>
  <c r="AZ144"/>
  <c r="BI106" s="1"/>
  <c r="O182"/>
  <c r="AY182"/>
  <c r="N182"/>
  <c r="BH29" i="12"/>
  <c r="BL29" s="1"/>
  <c r="BK29" s="1"/>
  <c r="N111" i="1"/>
  <c r="AY111"/>
  <c r="AV111"/>
  <c r="AZ116" i="10"/>
  <c r="O116"/>
  <c r="BA116"/>
  <c r="BA144" s="1"/>
  <c r="BJ106" s="1"/>
  <c r="P116"/>
  <c r="P144" s="1"/>
  <c r="BJ104" s="1"/>
  <c r="BI118" i="11"/>
  <c r="AH121"/>
  <c r="AJ121" s="1"/>
  <c r="AK121" s="1"/>
  <c r="AE121"/>
  <c r="AJ88"/>
  <c r="AK88" s="1"/>
  <c r="AH97"/>
  <c r="BI58" s="1"/>
  <c r="BI165"/>
  <c r="BI71"/>
  <c r="BC27" i="7" l="1"/>
  <c r="R22" i="12"/>
  <c r="R50" s="1"/>
  <c r="BL10" s="1"/>
  <c r="Q116" i="7"/>
  <c r="R116" s="1"/>
  <c r="BA112" i="1"/>
  <c r="BB112" s="1"/>
  <c r="BC112" s="1"/>
  <c r="BH25" i="12"/>
  <c r="BV91" s="1"/>
  <c r="P20" i="1"/>
  <c r="Q20" s="1"/>
  <c r="R20" s="1"/>
  <c r="Q50" i="12"/>
  <c r="Q51" s="1"/>
  <c r="BM10" s="1"/>
  <c r="C8" i="14" s="1"/>
  <c r="BB19" i="1"/>
  <c r="BC19" s="1"/>
  <c r="BA113"/>
  <c r="BB113" s="1"/>
  <c r="BC113" s="1"/>
  <c r="BB74"/>
  <c r="BC74" s="1"/>
  <c r="BH14" i="12"/>
  <c r="BH13" s="1"/>
  <c r="C143" i="14"/>
  <c r="C180" s="1"/>
  <c r="BB67" i="1"/>
  <c r="BC67" s="1"/>
  <c r="P160"/>
  <c r="Q160" s="1"/>
  <c r="R160" s="1"/>
  <c r="P67"/>
  <c r="Q67" s="1"/>
  <c r="R67" s="1"/>
  <c r="BB161"/>
  <c r="BC161" s="1"/>
  <c r="BH72" i="7"/>
  <c r="Q113" i="1"/>
  <c r="R113" s="1"/>
  <c r="BB160"/>
  <c r="BC160" s="1"/>
  <c r="P50" i="7"/>
  <c r="BJ10" s="1"/>
  <c r="C157" i="14" s="1"/>
  <c r="C194" s="1"/>
  <c r="Q114" i="1"/>
  <c r="R114" s="1"/>
  <c r="Q66"/>
  <c r="R66" s="1"/>
  <c r="BB66"/>
  <c r="BC66" s="1"/>
  <c r="P121"/>
  <c r="Q121" s="1"/>
  <c r="R121" s="1"/>
  <c r="Q74"/>
  <c r="R74" s="1"/>
  <c r="BJ73" i="7"/>
  <c r="BB18" i="1"/>
  <c r="BC18" s="1"/>
  <c r="O144" i="10"/>
  <c r="BI104" s="1"/>
  <c r="Q112" i="1"/>
  <c r="R112" s="1"/>
  <c r="O50" i="7"/>
  <c r="BI10" s="1"/>
  <c r="C156" i="14" s="1"/>
  <c r="C193" s="1"/>
  <c r="P65" i="1"/>
  <c r="Q65" s="1"/>
  <c r="R65" s="1"/>
  <c r="BK12" i="12"/>
  <c r="BX68" s="1"/>
  <c r="BH73" i="7"/>
  <c r="Q27" i="1"/>
  <c r="R27" s="1"/>
  <c r="BB168"/>
  <c r="BC168" s="1"/>
  <c r="BB114"/>
  <c r="BC114" s="1"/>
  <c r="Q159"/>
  <c r="R159" s="1"/>
  <c r="AZ144" i="10"/>
  <c r="BI106" s="1"/>
  <c r="BA159" i="1"/>
  <c r="BB159" s="1"/>
  <c r="BC159" s="1"/>
  <c r="Q18"/>
  <c r="R18" s="1"/>
  <c r="BB27"/>
  <c r="BC27" s="1"/>
  <c r="AY191" i="7"/>
  <c r="BH153" s="1"/>
  <c r="P144"/>
  <c r="BJ104" s="1"/>
  <c r="BA50"/>
  <c r="BJ12" s="1"/>
  <c r="E157" i="14" s="1"/>
  <c r="E194" s="1"/>
  <c r="BH73" i="10"/>
  <c r="BL73" s="1"/>
  <c r="BK73" s="1"/>
  <c r="BA191" i="7"/>
  <c r="BJ153" s="1"/>
  <c r="BB121" i="1"/>
  <c r="BC121" s="1"/>
  <c r="BB145" i="10"/>
  <c r="BM106" s="1"/>
  <c r="Q41" i="7"/>
  <c r="R41" s="1"/>
  <c r="AY144"/>
  <c r="BH106" s="1"/>
  <c r="BB135"/>
  <c r="BC135" s="1"/>
  <c r="BJ26"/>
  <c r="BJ119"/>
  <c r="BX91" s="1"/>
  <c r="BX90" s="1"/>
  <c r="AY50"/>
  <c r="BH12" s="1"/>
  <c r="E155" i="14" s="1"/>
  <c r="E192" s="1"/>
  <c r="BB22" i="7"/>
  <c r="BC22" s="1"/>
  <c r="AY97"/>
  <c r="BH59" s="1"/>
  <c r="BB88"/>
  <c r="BC88" s="1"/>
  <c r="BJ120"/>
  <c r="BB41"/>
  <c r="BC41" s="1"/>
  <c r="Q19" i="1"/>
  <c r="R19" s="1"/>
  <c r="Q161"/>
  <c r="R161" s="1"/>
  <c r="BA144" i="7"/>
  <c r="BJ106" s="1"/>
  <c r="Q168" i="1"/>
  <c r="R168" s="1"/>
  <c r="BH120" i="10"/>
  <c r="BL120" s="1"/>
  <c r="BK120" s="1"/>
  <c r="P41" i="1"/>
  <c r="Q41" s="1"/>
  <c r="R41" s="1"/>
  <c r="BA41"/>
  <c r="BB41" s="1"/>
  <c r="BC41" s="1"/>
  <c r="P135"/>
  <c r="Q135" s="1"/>
  <c r="R135" s="1"/>
  <c r="BA135"/>
  <c r="BB135" s="1"/>
  <c r="BC135" s="1"/>
  <c r="BH120" i="7"/>
  <c r="O191"/>
  <c r="BI151" s="1"/>
  <c r="P191"/>
  <c r="BJ151" s="1"/>
  <c r="Q163"/>
  <c r="R163" s="1"/>
  <c r="BH167"/>
  <c r="BL167" s="1"/>
  <c r="BK167" s="1"/>
  <c r="AZ191"/>
  <c r="BI153" s="1"/>
  <c r="O111" i="1"/>
  <c r="O116" s="1"/>
  <c r="O144" s="1"/>
  <c r="BI104" s="1"/>
  <c r="AW111"/>
  <c r="AZ111"/>
  <c r="AZ116" s="1"/>
  <c r="AZ144" s="1"/>
  <c r="BI106" s="1"/>
  <c r="N116"/>
  <c r="N144" s="1"/>
  <c r="BH104" s="1"/>
  <c r="Q182" i="7"/>
  <c r="R182" s="1"/>
  <c r="BJ72" i="10"/>
  <c r="BX92" s="1"/>
  <c r="BB97"/>
  <c r="O69"/>
  <c r="O97" s="1"/>
  <c r="BI57" s="1"/>
  <c r="AZ69"/>
  <c r="AZ97" s="1"/>
  <c r="BI59" s="1"/>
  <c r="BK11" i="11"/>
  <c r="AJ51"/>
  <c r="BM11" s="1"/>
  <c r="BL11"/>
  <c r="AK51"/>
  <c r="BN11" s="1"/>
  <c r="N163" i="1"/>
  <c r="N191" s="1"/>
  <c r="BH151" s="1"/>
  <c r="AW158"/>
  <c r="AZ158"/>
  <c r="AZ163" s="1"/>
  <c r="AZ191" s="1"/>
  <c r="BI153" s="1"/>
  <c r="O158"/>
  <c r="O163" s="1"/>
  <c r="O191" s="1"/>
  <c r="BI151" s="1"/>
  <c r="AW17"/>
  <c r="AZ17"/>
  <c r="AZ22" s="1"/>
  <c r="AZ50" s="1"/>
  <c r="BI12" s="1"/>
  <c r="E164" i="14" s="1"/>
  <c r="E201" s="1"/>
  <c r="O17" i="1"/>
  <c r="O22" s="1"/>
  <c r="O50" s="1"/>
  <c r="BI10" s="1"/>
  <c r="C164" i="14" s="1"/>
  <c r="C201" s="1"/>
  <c r="BC191" i="7"/>
  <c r="Q135"/>
  <c r="R135" s="1"/>
  <c r="BH76" i="10"/>
  <c r="BL76" s="1"/>
  <c r="BK76" s="1"/>
  <c r="Q88" i="1"/>
  <c r="R88" s="1"/>
  <c r="BH123" i="10"/>
  <c r="BL123" s="1"/>
  <c r="BK123" s="1"/>
  <c r="E46" i="14"/>
  <c r="E113" s="1"/>
  <c r="BX68" i="10"/>
  <c r="AZ64" i="1"/>
  <c r="AZ69" s="1"/>
  <c r="AZ97" s="1"/>
  <c r="BI59" s="1"/>
  <c r="O64"/>
  <c r="O69" s="1"/>
  <c r="O97" s="1"/>
  <c r="BI57" s="1"/>
  <c r="AW64"/>
  <c r="BJ108" i="10"/>
  <c r="BJ107" s="1"/>
  <c r="BB182" i="1"/>
  <c r="BC182" s="1"/>
  <c r="AH191" i="11"/>
  <c r="BI152" s="1"/>
  <c r="AH144"/>
  <c r="BI105" s="1"/>
  <c r="BC144" i="10"/>
  <c r="AK97" i="11"/>
  <c r="AJ97"/>
  <c r="BI76"/>
  <c r="BI120"/>
  <c r="AY116" i="1"/>
  <c r="AY144" s="1"/>
  <c r="BH106" s="1"/>
  <c r="AY69" i="10"/>
  <c r="AY97" s="1"/>
  <c r="BH59" s="1"/>
  <c r="N69"/>
  <c r="BA69"/>
  <c r="BA97" s="1"/>
  <c r="BJ59" s="1"/>
  <c r="P69"/>
  <c r="P97" s="1"/>
  <c r="BJ57" s="1"/>
  <c r="BI164" i="11"/>
  <c r="AY163" i="1"/>
  <c r="AY191" s="1"/>
  <c r="BH153" s="1"/>
  <c r="BH26" i="7"/>
  <c r="N22" i="1"/>
  <c r="N50" s="1"/>
  <c r="BH10" s="1"/>
  <c r="C163" i="14" s="1"/>
  <c r="C200" s="1"/>
  <c r="AY22" i="1"/>
  <c r="AY50" s="1"/>
  <c r="BH12" s="1"/>
  <c r="E163" i="14" s="1"/>
  <c r="E200" s="1"/>
  <c r="BK153" i="7"/>
  <c r="BB192"/>
  <c r="Q22"/>
  <c r="R22" s="1"/>
  <c r="AJ191" i="11"/>
  <c r="BI170"/>
  <c r="AJ144"/>
  <c r="BI123"/>
  <c r="N69" i="1"/>
  <c r="N97" s="1"/>
  <c r="BH57" s="1"/>
  <c r="AY69"/>
  <c r="AY97" s="1"/>
  <c r="BH59" s="1"/>
  <c r="BM12" i="12"/>
  <c r="BC51"/>
  <c r="BL12"/>
  <c r="Q88" i="7"/>
  <c r="R88" s="1"/>
  <c r="Q182" i="1"/>
  <c r="R182" s="1"/>
  <c r="Q116" i="10"/>
  <c r="R116" s="1"/>
  <c r="N144"/>
  <c r="BH104" s="1"/>
  <c r="BH108" s="1"/>
  <c r="BH107" s="1"/>
  <c r="BB88" i="1"/>
  <c r="BC88" s="1"/>
  <c r="BL73" i="7" l="1"/>
  <c r="BK73" s="1"/>
  <c r="BJ123" i="1"/>
  <c r="BH73"/>
  <c r="BL25" i="12"/>
  <c r="BK25" s="1"/>
  <c r="BH119" i="7"/>
  <c r="BV91" s="1"/>
  <c r="BK10" i="12"/>
  <c r="BX66" s="1"/>
  <c r="BL14"/>
  <c r="F200" i="14"/>
  <c r="F201"/>
  <c r="BJ73" i="1"/>
  <c r="F143" i="14"/>
  <c r="F180"/>
  <c r="F163"/>
  <c r="F164"/>
  <c r="BV92" i="7"/>
  <c r="BH26" i="1"/>
  <c r="BJ167"/>
  <c r="BJ26"/>
  <c r="BH120"/>
  <c r="E21" i="14"/>
  <c r="E75" s="1"/>
  <c r="BI108" i="10"/>
  <c r="BI107" s="1"/>
  <c r="BL26" i="7"/>
  <c r="BK26" s="1"/>
  <c r="BJ120" i="1"/>
  <c r="BL120" i="7"/>
  <c r="BK120" s="1"/>
  <c r="BH29"/>
  <c r="R51" i="12"/>
  <c r="BN10" s="1"/>
  <c r="G8" i="14" s="1"/>
  <c r="BJ29" i="7"/>
  <c r="BB50"/>
  <c r="BC97"/>
  <c r="BC98" s="1"/>
  <c r="BB97"/>
  <c r="BJ76"/>
  <c r="BJ25"/>
  <c r="BX93" s="1"/>
  <c r="BC144"/>
  <c r="BL106" s="1"/>
  <c r="BJ123"/>
  <c r="BB144"/>
  <c r="BJ29" i="1"/>
  <c r="BH167"/>
  <c r="BH29"/>
  <c r="E88" i="14"/>
  <c r="E8"/>
  <c r="H92"/>
  <c r="H12"/>
  <c r="D92"/>
  <c r="D12"/>
  <c r="BH123" i="1"/>
  <c r="BH166" i="7"/>
  <c r="BH61" i="1"/>
  <c r="BH60" s="1"/>
  <c r="AK144" i="11"/>
  <c r="AK145" s="1"/>
  <c r="BN105" s="1"/>
  <c r="AK191"/>
  <c r="BL152" s="1"/>
  <c r="BH108" i="1"/>
  <c r="BH107" s="1"/>
  <c r="BI61"/>
  <c r="BI60" s="1"/>
  <c r="BJ61" i="10"/>
  <c r="BJ60" s="1"/>
  <c r="BH119"/>
  <c r="BH170" i="1"/>
  <c r="BH76" i="7"/>
  <c r="BN12" i="12"/>
  <c r="AJ145" i="11"/>
  <c r="BM105" s="1"/>
  <c r="BK105"/>
  <c r="BM153" i="7"/>
  <c r="E63" i="14"/>
  <c r="E130" s="1"/>
  <c r="BV68" i="7"/>
  <c r="Q69" i="10"/>
  <c r="R69" s="1"/>
  <c r="N97"/>
  <c r="BH57" s="1"/>
  <c r="BH61" s="1"/>
  <c r="BH60" s="1"/>
  <c r="BM14" i="12"/>
  <c r="B8" i="14" s="1"/>
  <c r="C88"/>
  <c r="AK98" i="11"/>
  <c r="BN58" s="1"/>
  <c r="BL58"/>
  <c r="BH76" i="1"/>
  <c r="BH123" i="7"/>
  <c r="BC192"/>
  <c r="BL153"/>
  <c r="BI14" i="1"/>
  <c r="BI13" s="1"/>
  <c r="BA17"/>
  <c r="P17"/>
  <c r="BB98" i="10"/>
  <c r="BK59"/>
  <c r="G21" i="14"/>
  <c r="BX43" i="12"/>
  <c r="BJ76" i="1"/>
  <c r="BX45" i="12"/>
  <c r="I21" i="14"/>
  <c r="AJ192" i="11"/>
  <c r="BM152" s="1"/>
  <c r="BK152"/>
  <c r="BH25" i="7"/>
  <c r="AJ98" i="11"/>
  <c r="BM58" s="1"/>
  <c r="BK58"/>
  <c r="BL106" i="10"/>
  <c r="BC145"/>
  <c r="BJ170" i="1"/>
  <c r="P64"/>
  <c r="P69" s="1"/>
  <c r="P97" s="1"/>
  <c r="BJ57" s="1"/>
  <c r="BA64"/>
  <c r="BA158"/>
  <c r="P158"/>
  <c r="H25" i="14"/>
  <c r="BZ44" i="11"/>
  <c r="D25" i="14"/>
  <c r="BZ67" i="11"/>
  <c r="BK17"/>
  <c r="BC97" i="10"/>
  <c r="BH170" i="7"/>
  <c r="BL170" s="1"/>
  <c r="BK170" s="1"/>
  <c r="BA111" i="1"/>
  <c r="P111"/>
  <c r="P116" s="1"/>
  <c r="P144" s="1"/>
  <c r="BJ104" s="1"/>
  <c r="Q144" i="10"/>
  <c r="BI108" i="1"/>
  <c r="BI107" s="1"/>
  <c r="BH14"/>
  <c r="BH13" s="1"/>
  <c r="BI155"/>
  <c r="BI154" s="1"/>
  <c r="BH155"/>
  <c r="BH154" s="1"/>
  <c r="BI61" i="10"/>
  <c r="BI60" s="1"/>
  <c r="BL123" i="1" l="1"/>
  <c r="BK123" s="1"/>
  <c r="BL73"/>
  <c r="BK73" s="1"/>
  <c r="BK14" i="12"/>
  <c r="BK13" s="1"/>
  <c r="J21" i="14" s="1"/>
  <c r="AM7" s="1"/>
  <c r="C21"/>
  <c r="D82" i="17" s="1"/>
  <c r="BL76" i="7"/>
  <c r="BK76" s="1"/>
  <c r="BL29" i="1"/>
  <c r="BK29" s="1"/>
  <c r="BL167"/>
  <c r="BK167" s="1"/>
  <c r="AL7" i="14"/>
  <c r="BL26" i="1"/>
  <c r="BK26" s="1"/>
  <c r="BX69" i="12"/>
  <c r="BX47"/>
  <c r="BL120" i="1"/>
  <c r="BK120" s="1"/>
  <c r="BL29" i="7"/>
  <c r="BK29" s="1"/>
  <c r="G88" i="14"/>
  <c r="BL123" i="7"/>
  <c r="BK123" s="1"/>
  <c r="BL59"/>
  <c r="BY45" s="1"/>
  <c r="BC145"/>
  <c r="BN106" s="1"/>
  <c r="BB145"/>
  <c r="BM106" s="1"/>
  <c r="BK106"/>
  <c r="BB98"/>
  <c r="BM59" s="1"/>
  <c r="BK59"/>
  <c r="BK12"/>
  <c r="BB51"/>
  <c r="BM12" s="1"/>
  <c r="E91" i="14" s="1"/>
  <c r="BC50" i="7"/>
  <c r="I88" i="14"/>
  <c r="I8"/>
  <c r="Q64" i="1"/>
  <c r="R64" s="1"/>
  <c r="BL105" i="11"/>
  <c r="BX44" s="1"/>
  <c r="BV89" i="7"/>
  <c r="BV90" s="1"/>
  <c r="Q111" i="1"/>
  <c r="R111" s="1"/>
  <c r="BN14" i="12"/>
  <c r="AK192" i="11"/>
  <c r="BN152" s="1"/>
  <c r="R144" i="10"/>
  <c r="R145" s="1"/>
  <c r="BA116" i="1"/>
  <c r="BA144" s="1"/>
  <c r="BJ106" s="1"/>
  <c r="BJ108" s="1"/>
  <c r="BJ107" s="1"/>
  <c r="BB111"/>
  <c r="BC111" s="1"/>
  <c r="BC98" i="10"/>
  <c r="BL59"/>
  <c r="AK11" i="14"/>
  <c r="D79"/>
  <c r="P163" i="1"/>
  <c r="P191" s="1"/>
  <c r="BJ151" s="1"/>
  <c r="Q158"/>
  <c r="R158" s="1"/>
  <c r="BN106" i="10"/>
  <c r="BL25" i="7"/>
  <c r="BK25" s="1"/>
  <c r="BV93"/>
  <c r="D64" i="14"/>
  <c r="D131" s="1"/>
  <c r="BV67" i="11"/>
  <c r="CA67" s="1"/>
  <c r="F21" i="14"/>
  <c r="S56" s="1"/>
  <c r="BL13" i="12"/>
  <c r="P22" i="1"/>
  <c r="P50" s="1"/>
  <c r="Q17"/>
  <c r="R17" s="1"/>
  <c r="BY44" i="11"/>
  <c r="H38" i="14"/>
  <c r="BM13" i="12"/>
  <c r="B88" i="14"/>
  <c r="BH72" i="10"/>
  <c r="R97"/>
  <c r="R98" s="1"/>
  <c r="Q97"/>
  <c r="BX45" i="7"/>
  <c r="I50" i="14"/>
  <c r="BV91" i="10"/>
  <c r="BL119"/>
  <c r="BK119" s="1"/>
  <c r="BL170" i="1"/>
  <c r="BK170" s="1"/>
  <c r="Q145" i="10"/>
  <c r="BK104"/>
  <c r="BA163" i="1"/>
  <c r="BA191" s="1"/>
  <c r="BJ153" s="1"/>
  <c r="BB158"/>
  <c r="BC158" s="1"/>
  <c r="BA69"/>
  <c r="BA97" s="1"/>
  <c r="BJ59" s="1"/>
  <c r="BJ61" s="1"/>
  <c r="BJ60" s="1"/>
  <c r="BB64"/>
  <c r="BC64" s="1"/>
  <c r="BN59" i="7"/>
  <c r="BX45" i="10"/>
  <c r="I46" i="14"/>
  <c r="BY67" i="11"/>
  <c r="D38" i="14"/>
  <c r="D105" s="1"/>
  <c r="E33"/>
  <c r="E100" s="1"/>
  <c r="BY68" i="10"/>
  <c r="BM59"/>
  <c r="BA22" i="1"/>
  <c r="BA50" s="1"/>
  <c r="BJ12" s="1"/>
  <c r="E165" i="14" s="1"/>
  <c r="E202" s="1"/>
  <c r="BB17" i="1"/>
  <c r="BC17" s="1"/>
  <c r="I63" i="14"/>
  <c r="BV45" i="7"/>
  <c r="BN153"/>
  <c r="BV44" i="11"/>
  <c r="CB44" s="1"/>
  <c r="H64" i="14"/>
  <c r="D51"/>
  <c r="BX67" i="11"/>
  <c r="BL76" i="1"/>
  <c r="BK76" s="1"/>
  <c r="CB67" i="11" l="1"/>
  <c r="BX46" i="12"/>
  <c r="BJ10" i="1"/>
  <c r="C165" i="14" s="1"/>
  <c r="C202" s="1"/>
  <c r="BK16" i="12"/>
  <c r="B21" i="14"/>
  <c r="C82" i="17" s="1"/>
  <c r="Q116" i="1"/>
  <c r="BH119" s="1"/>
  <c r="C75" i="14"/>
  <c r="AJ7"/>
  <c r="CA44" i="11"/>
  <c r="AJ56" i="14" s="1"/>
  <c r="I37"/>
  <c r="R69" i="1"/>
  <c r="R97" s="1"/>
  <c r="H51" i="14"/>
  <c r="D118"/>
  <c r="E11"/>
  <c r="BL12" i="7"/>
  <c r="BC51"/>
  <c r="BN12" s="1"/>
  <c r="E24" i="14"/>
  <c r="BZ68" i="7"/>
  <c r="E37" i="14"/>
  <c r="E104" s="1"/>
  <c r="BY68" i="7"/>
  <c r="BX68"/>
  <c r="BW68" s="1"/>
  <c r="E50" i="14"/>
  <c r="E117" s="1"/>
  <c r="Q69" i="1"/>
  <c r="BH72" s="1"/>
  <c r="J88" i="14"/>
  <c r="J8"/>
  <c r="F88"/>
  <c r="F8"/>
  <c r="E56" i="17" s="1"/>
  <c r="BL104" i="10"/>
  <c r="G46" i="14" s="1"/>
  <c r="BN104" i="10"/>
  <c r="BN108" s="1"/>
  <c r="BN107" s="1"/>
  <c r="BN13" i="12"/>
  <c r="R116" i="1"/>
  <c r="R144" s="1"/>
  <c r="BW44" i="11"/>
  <c r="BW45" i="7"/>
  <c r="BB69" i="1"/>
  <c r="BB163"/>
  <c r="BM104" i="10"/>
  <c r="BM108" s="1"/>
  <c r="BM107" s="1"/>
  <c r="Q98"/>
  <c r="BM57" s="1"/>
  <c r="BM61" s="1"/>
  <c r="BM60" s="1"/>
  <c r="BK57"/>
  <c r="BL72"/>
  <c r="BK72" s="1"/>
  <c r="BV92"/>
  <c r="R163" i="1"/>
  <c r="R191" s="1"/>
  <c r="Q163"/>
  <c r="BN59" i="10"/>
  <c r="BB116" i="1"/>
  <c r="BB22"/>
  <c r="C46" i="14"/>
  <c r="BX66" i="10"/>
  <c r="BX69" s="1"/>
  <c r="BK108"/>
  <c r="BL57"/>
  <c r="BN57"/>
  <c r="Q22" i="1"/>
  <c r="R22"/>
  <c r="R50" s="1"/>
  <c r="I33" i="14"/>
  <c r="BY45" i="10"/>
  <c r="BW67" i="11"/>
  <c r="BJ155" i="1"/>
  <c r="BJ154" s="1"/>
  <c r="CA68" i="7" l="1"/>
  <c r="CB68"/>
  <c r="BJ14" i="1"/>
  <c r="BJ13" s="1"/>
  <c r="F202" i="14"/>
  <c r="F165"/>
  <c r="Q144" i="1"/>
  <c r="BK104" s="1"/>
  <c r="AI7" i="14"/>
  <c r="C37" i="17"/>
  <c r="B75" i="14"/>
  <c r="Q97" i="1"/>
  <c r="Q98" s="1"/>
  <c r="BM57" s="1"/>
  <c r="R98"/>
  <c r="BN57" s="1"/>
  <c r="BL57"/>
  <c r="G39" i="14" s="1"/>
  <c r="BX43" i="10"/>
  <c r="BX47" s="1"/>
  <c r="BX46" s="1"/>
  <c r="E78" i="14"/>
  <c r="AL10"/>
  <c r="BZ45" i="7"/>
  <c r="I24" i="14"/>
  <c r="I91"/>
  <c r="I11"/>
  <c r="C113"/>
  <c r="BL108" i="10"/>
  <c r="F46" i="14" s="1"/>
  <c r="Q55" s="1"/>
  <c r="BL104" i="1"/>
  <c r="BX43" s="1"/>
  <c r="R145"/>
  <c r="BN104" s="1"/>
  <c r="BN61" i="10"/>
  <c r="BN60" s="1"/>
  <c r="BV91" i="1"/>
  <c r="BL10"/>
  <c r="R51"/>
  <c r="BN10" s="1"/>
  <c r="G13" i="14" s="1"/>
  <c r="BY43" i="10"/>
  <c r="BY47" s="1"/>
  <c r="BY46" s="1"/>
  <c r="G33" i="14"/>
  <c r="BL61" i="10"/>
  <c r="BV92" i="1"/>
  <c r="BC116"/>
  <c r="R192"/>
  <c r="BN151" s="1"/>
  <c r="BL151"/>
  <c r="BC69"/>
  <c r="BJ72"/>
  <c r="BX92" s="1"/>
  <c r="BB97"/>
  <c r="Q145"/>
  <c r="BM104" s="1"/>
  <c r="BH25"/>
  <c r="Q50"/>
  <c r="B46" i="14"/>
  <c r="B113" s="1"/>
  <c r="BK107" i="10"/>
  <c r="J46" i="14" s="1"/>
  <c r="BC22" i="1"/>
  <c r="BJ25"/>
  <c r="BB50"/>
  <c r="BJ119"/>
  <c r="BX91" s="1"/>
  <c r="BB144"/>
  <c r="BH166"/>
  <c r="Q191"/>
  <c r="C33" i="14"/>
  <c r="C100" s="1"/>
  <c r="BK61" i="10"/>
  <c r="BY66"/>
  <c r="BY69" s="1"/>
  <c r="BC163" i="1"/>
  <c r="BJ166"/>
  <c r="BX89" s="1"/>
  <c r="BB191"/>
  <c r="C38" i="17" l="1"/>
  <c r="C39" s="1"/>
  <c r="CA45" i="7"/>
  <c r="AI57" i="14" s="1"/>
  <c r="CB45" i="7"/>
  <c r="BY43" i="1"/>
  <c r="BK57"/>
  <c r="BY66" s="1"/>
  <c r="G52" i="14"/>
  <c r="BL107" i="10"/>
  <c r="Q192" i="1"/>
  <c r="BM151" s="1"/>
  <c r="BK151"/>
  <c r="BX93"/>
  <c r="BK153"/>
  <c r="BB192"/>
  <c r="BC191"/>
  <c r="BL166"/>
  <c r="BK166" s="1"/>
  <c r="BV89"/>
  <c r="BV90" s="1"/>
  <c r="BC50"/>
  <c r="C39" i="14"/>
  <c r="C106" s="1"/>
  <c r="BV93" i="1"/>
  <c r="BL25"/>
  <c r="BK25" s="1"/>
  <c r="BC97"/>
  <c r="G65" i="14"/>
  <c r="BV43" i="1"/>
  <c r="F33" i="14"/>
  <c r="R55" s="1"/>
  <c r="BL60" i="10"/>
  <c r="G26" i="14"/>
  <c r="BZ43" i="1"/>
  <c r="CB43" s="1"/>
  <c r="BX90"/>
  <c r="BL72"/>
  <c r="BK72" s="1"/>
  <c r="B33" i="14"/>
  <c r="B100" s="1"/>
  <c r="BK60" i="10"/>
  <c r="J33" i="14" s="1"/>
  <c r="BB145" i="1"/>
  <c r="BK106"/>
  <c r="BK108" s="1"/>
  <c r="BK12"/>
  <c r="BB51"/>
  <c r="BK10"/>
  <c r="Q51"/>
  <c r="BM10" s="1"/>
  <c r="C13" i="14" s="1"/>
  <c r="C52"/>
  <c r="BX66" i="1"/>
  <c r="BB98"/>
  <c r="BK59"/>
  <c r="BC144"/>
  <c r="G93" i="14"/>
  <c r="BL119" i="1"/>
  <c r="BK119" s="1"/>
  <c r="CA43" l="1"/>
  <c r="AK55" i="14" s="1"/>
  <c r="BW43" i="1"/>
  <c r="BK61"/>
  <c r="B39" i="14" s="1"/>
  <c r="B106" s="1"/>
  <c r="C119"/>
  <c r="BM59" i="1"/>
  <c r="BM61" s="1"/>
  <c r="BM60" s="1"/>
  <c r="B52" i="14"/>
  <c r="B119" s="1"/>
  <c r="BK107" i="1"/>
  <c r="J52" i="14" s="1"/>
  <c r="BZ66" i="1"/>
  <c r="C26" i="14"/>
  <c r="D87" i="17" s="1"/>
  <c r="BK14" i="1"/>
  <c r="BM12"/>
  <c r="E52" i="14"/>
  <c r="E119" s="1"/>
  <c r="BX68" i="1"/>
  <c r="BX69" s="1"/>
  <c r="BM106"/>
  <c r="BM108" s="1"/>
  <c r="BM107" s="1"/>
  <c r="BL106"/>
  <c r="BC145"/>
  <c r="E39" i="14"/>
  <c r="E106" s="1"/>
  <c r="BY68" i="1"/>
  <c r="BY69" s="1"/>
  <c r="C93" i="14"/>
  <c r="E26"/>
  <c r="BZ68" i="1"/>
  <c r="BC98"/>
  <c r="BL59"/>
  <c r="BL12"/>
  <c r="BC51"/>
  <c r="BC192"/>
  <c r="BL153"/>
  <c r="BM153"/>
  <c r="BM155" s="1"/>
  <c r="BM154" s="1"/>
  <c r="E65" i="14"/>
  <c r="E132" s="1"/>
  <c r="BV68" i="1"/>
  <c r="C65" i="14"/>
  <c r="C132" s="1"/>
  <c r="BV66" i="1"/>
  <c r="BK155"/>
  <c r="CB66" l="1"/>
  <c r="CB68"/>
  <c r="BZ69"/>
  <c r="CA66"/>
  <c r="BK60"/>
  <c r="J39" i="14" s="1"/>
  <c r="CA68" i="1"/>
  <c r="BW66"/>
  <c r="BV69"/>
  <c r="E93" i="14"/>
  <c r="E13"/>
  <c r="BW68" i="1"/>
  <c r="BM14"/>
  <c r="BM13" s="1"/>
  <c r="BN153"/>
  <c r="BN155" s="1"/>
  <c r="BN154" s="1"/>
  <c r="B65" i="14"/>
  <c r="B132" s="1"/>
  <c r="BK154" i="1"/>
  <c r="J65" i="14" s="1"/>
  <c r="I65"/>
  <c r="BV45" i="1"/>
  <c r="BV47" s="1"/>
  <c r="BV46" s="1"/>
  <c r="BL155"/>
  <c r="BN12"/>
  <c r="I13" i="14" s="1"/>
  <c r="BZ45" i="1"/>
  <c r="I26" i="14"/>
  <c r="BL14" i="1"/>
  <c r="BN59"/>
  <c r="BN61" s="1"/>
  <c r="BN60" s="1"/>
  <c r="AL12" i="14"/>
  <c r="E80"/>
  <c r="BN106" i="1"/>
  <c r="BN108" s="1"/>
  <c r="BN107" s="1"/>
  <c r="AJ12" i="14"/>
  <c r="C80"/>
  <c r="BY45" i="1"/>
  <c r="BY47" s="1"/>
  <c r="BY46" s="1"/>
  <c r="I39" i="14"/>
  <c r="BL61" i="1"/>
  <c r="I52" i="14"/>
  <c r="BX45" i="1"/>
  <c r="BX47" s="1"/>
  <c r="BX46" s="1"/>
  <c r="BL108"/>
  <c r="B26" i="14"/>
  <c r="BK13" i="1"/>
  <c r="J26" i="14" s="1"/>
  <c r="AM12" s="1"/>
  <c r="BK16" i="1"/>
  <c r="CB45" l="1"/>
  <c r="CB69"/>
  <c r="CA45"/>
  <c r="AK57" i="14" s="1"/>
  <c r="BZ47" i="1"/>
  <c r="CB47" s="1"/>
  <c r="BW69"/>
  <c r="CA69"/>
  <c r="J93" i="14"/>
  <c r="J13"/>
  <c r="B93"/>
  <c r="B13"/>
  <c r="C87" i="17"/>
  <c r="H37"/>
  <c r="BL154" i="1"/>
  <c r="F65" i="14"/>
  <c r="O61" s="1"/>
  <c r="AI12"/>
  <c r="B80"/>
  <c r="F52"/>
  <c r="Q61" s="1"/>
  <c r="BL107" i="1"/>
  <c r="F39" i="14"/>
  <c r="R61" s="1"/>
  <c r="BL60" i="1"/>
  <c r="F26" i="14"/>
  <c r="S61" s="1"/>
  <c r="BL13" i="1"/>
  <c r="I93" i="14"/>
  <c r="BN14" i="1"/>
  <c r="F13" i="14" s="1"/>
  <c r="E61" i="17" s="1"/>
  <c r="BW45" i="1"/>
  <c r="BW47" s="1"/>
  <c r="BW46" s="1"/>
  <c r="H38" i="17" l="1"/>
  <c r="H39" s="1"/>
  <c r="CA47" i="1"/>
  <c r="AK59" i="14" s="1"/>
  <c r="BZ46" i="1"/>
  <c r="CB46" s="1"/>
  <c r="BN13"/>
  <c r="F93" i="14"/>
  <c r="P61"/>
  <c r="CA46" i="1" l="1"/>
  <c r="AK58" i="14" s="1"/>
  <c r="BH71" i="12"/>
  <c r="BL71" s="1"/>
  <c r="BK71" s="1"/>
  <c r="BH70"/>
  <c r="BL70" s="1"/>
  <c r="BK70" s="1"/>
  <c r="BH218" i="8" l="1"/>
  <c r="BL218" s="1"/>
  <c r="BK218" s="1"/>
  <c r="BJ73" i="12" l="1"/>
  <c r="BJ59"/>
  <c r="BI59"/>
  <c r="BJ76"/>
  <c r="BH59"/>
  <c r="BJ61" l="1"/>
  <c r="BJ60" s="1"/>
  <c r="BH61"/>
  <c r="BH60" s="1"/>
  <c r="BI61"/>
  <c r="BI60" s="1"/>
  <c r="BL59"/>
  <c r="BN59"/>
  <c r="BH76"/>
  <c r="BL76" s="1"/>
  <c r="BK76" s="1"/>
  <c r="BK59"/>
  <c r="BM59"/>
  <c r="BH73"/>
  <c r="BL73" s="1"/>
  <c r="BK73" s="1"/>
  <c r="BN61" l="1"/>
  <c r="BN60" s="1"/>
  <c r="BK61"/>
  <c r="BK60" s="1"/>
  <c r="BL61"/>
  <c r="BL60" s="1"/>
  <c r="BM61"/>
  <c r="BM60" s="1"/>
  <c r="BJ72"/>
  <c r="BH72" l="1"/>
  <c r="BL72" s="1"/>
  <c r="BK72" s="1"/>
  <c r="BH211" i="8" l="1"/>
  <c r="BL211" s="1"/>
  <c r="BK211" s="1"/>
  <c r="BH215" l="1"/>
  <c r="BL215" s="1"/>
  <c r="BK215" s="1"/>
  <c r="BH216"/>
  <c r="BL216" s="1"/>
  <c r="BK216" s="1"/>
  <c r="BH212"/>
  <c r="BL212" s="1"/>
  <c r="BK212" s="1"/>
  <c r="BH198" l="1"/>
  <c r="BI198"/>
  <c r="BH217" l="1"/>
  <c r="BH214"/>
  <c r="BJ214"/>
  <c r="BJ198"/>
  <c r="BI200"/>
  <c r="BI202" s="1"/>
  <c r="BI201" s="1"/>
  <c r="BJ200"/>
  <c r="BJ217"/>
  <c r="BH200"/>
  <c r="BH202" s="1"/>
  <c r="BH201" s="1"/>
  <c r="BJ202" l="1"/>
  <c r="BJ201" s="1"/>
  <c r="BM200"/>
  <c r="BK200"/>
  <c r="BH213"/>
  <c r="BJ213"/>
  <c r="BL214"/>
  <c r="BK214" s="1"/>
  <c r="BL217"/>
  <c r="BK217" s="1"/>
  <c r="BM198" l="1"/>
  <c r="BM202" s="1"/>
  <c r="BM201" s="1"/>
  <c r="BK198"/>
  <c r="BK202" s="1"/>
  <c r="BK201" s="1"/>
  <c r="BN198"/>
  <c r="BL198"/>
  <c r="BL213"/>
  <c r="BK213" s="1"/>
  <c r="BL200"/>
  <c r="BN200"/>
  <c r="BN202" s="1"/>
  <c r="BN201" s="1"/>
  <c r="BL202" l="1"/>
  <c r="BL201" s="1"/>
  <c r="N187" i="7" l="1"/>
  <c r="L187"/>
  <c r="N46"/>
  <c r="L46"/>
  <c r="L93"/>
  <c r="N93"/>
  <c r="L140"/>
  <c r="N140"/>
  <c r="I144" l="1"/>
  <c r="I97"/>
  <c r="Q93"/>
  <c r="R93" s="1"/>
  <c r="L85"/>
  <c r="N85"/>
  <c r="Q85" s="1"/>
  <c r="R85" s="1"/>
  <c r="N132"/>
  <c r="Q132" s="1"/>
  <c r="R132" s="1"/>
  <c r="L132"/>
  <c r="L63"/>
  <c r="N63"/>
  <c r="Q63" s="1"/>
  <c r="R63" s="1"/>
  <c r="N110"/>
  <c r="Q110" s="1"/>
  <c r="R110" s="1"/>
  <c r="L110"/>
  <c r="Q187"/>
  <c r="R187" s="1"/>
  <c r="N178"/>
  <c r="Q178" s="1"/>
  <c r="R178" s="1"/>
  <c r="L178"/>
  <c r="L37"/>
  <c r="N37"/>
  <c r="Q37" s="1"/>
  <c r="R37" s="1"/>
  <c r="N59"/>
  <c r="Q59" s="1"/>
  <c r="R59" s="1"/>
  <c r="L59"/>
  <c r="L106"/>
  <c r="N106"/>
  <c r="Q106" s="1"/>
  <c r="R106" s="1"/>
  <c r="Q140"/>
  <c r="R140" s="1"/>
  <c r="L179"/>
  <c r="N179"/>
  <c r="Q179" s="1"/>
  <c r="R179" s="1"/>
  <c r="N38"/>
  <c r="Q38" s="1"/>
  <c r="R38" s="1"/>
  <c r="L38"/>
  <c r="N157"/>
  <c r="Q157" s="1"/>
  <c r="R157" s="1"/>
  <c r="L157"/>
  <c r="N16"/>
  <c r="Q16" s="1"/>
  <c r="R16" s="1"/>
  <c r="L16"/>
  <c r="Q46"/>
  <c r="R46" s="1"/>
  <c r="N84"/>
  <c r="Q84" s="1"/>
  <c r="R84" s="1"/>
  <c r="L84"/>
  <c r="N131"/>
  <c r="Q131" s="1"/>
  <c r="R131" s="1"/>
  <c r="L131"/>
  <c r="L12"/>
  <c r="N12"/>
  <c r="Q12" s="1"/>
  <c r="R12" s="1"/>
  <c r="N153"/>
  <c r="Q153" s="1"/>
  <c r="R153" s="1"/>
  <c r="L153"/>
  <c r="L144" l="1"/>
  <c r="L191"/>
  <c r="L97"/>
  <c r="L50"/>
  <c r="BH164"/>
  <c r="BL164" s="1"/>
  <c r="BK164" s="1"/>
  <c r="BH121"/>
  <c r="BL121" s="1"/>
  <c r="BK121" s="1"/>
  <c r="BH74"/>
  <c r="BL74" s="1"/>
  <c r="BK74" s="1"/>
  <c r="BH30"/>
  <c r="BL30" s="1"/>
  <c r="BK30" s="1"/>
  <c r="Q50"/>
  <c r="BH169"/>
  <c r="BL169" s="1"/>
  <c r="BK169" s="1"/>
  <c r="BH117"/>
  <c r="BL117" s="1"/>
  <c r="BK117" s="1"/>
  <c r="BH27"/>
  <c r="BL27" s="1"/>
  <c r="BK27" s="1"/>
  <c r="BH118"/>
  <c r="BL118" s="1"/>
  <c r="BK118" s="1"/>
  <c r="BH122"/>
  <c r="BL122" s="1"/>
  <c r="BK122" s="1"/>
  <c r="BH77"/>
  <c r="BL77" s="1"/>
  <c r="BK77" s="1"/>
  <c r="Q97"/>
  <c r="N144"/>
  <c r="BH104" s="1"/>
  <c r="N191"/>
  <c r="BH151" s="1"/>
  <c r="BH23"/>
  <c r="BL23" s="1"/>
  <c r="BK23" s="1"/>
  <c r="BH24"/>
  <c r="BL24" s="1"/>
  <c r="BK24" s="1"/>
  <c r="BH165"/>
  <c r="BL165" s="1"/>
  <c r="BK165" s="1"/>
  <c r="BH28"/>
  <c r="BL28" s="1"/>
  <c r="BK28" s="1"/>
  <c r="Q144"/>
  <c r="BH124"/>
  <c r="BL124" s="1"/>
  <c r="BK124" s="1"/>
  <c r="BH70"/>
  <c r="BL70" s="1"/>
  <c r="BK70" s="1"/>
  <c r="BH168"/>
  <c r="BL168" s="1"/>
  <c r="BK168" s="1"/>
  <c r="Q191"/>
  <c r="BH171"/>
  <c r="BL171" s="1"/>
  <c r="BK171" s="1"/>
  <c r="BH71"/>
  <c r="BL71" s="1"/>
  <c r="BK71" s="1"/>
  <c r="BH75"/>
  <c r="BL75" s="1"/>
  <c r="BK75" s="1"/>
  <c r="N50"/>
  <c r="BH10" s="1"/>
  <c r="C155" i="14" s="1"/>
  <c r="C192" s="1"/>
  <c r="N97" i="7"/>
  <c r="BH57" s="1"/>
  <c r="R144" l="1"/>
  <c r="R145" s="1"/>
  <c r="BN104" s="1"/>
  <c r="R191"/>
  <c r="BL151" s="1"/>
  <c r="Q145"/>
  <c r="BM104" s="1"/>
  <c r="BK104"/>
  <c r="Q98"/>
  <c r="BM57" s="1"/>
  <c r="BK57"/>
  <c r="Q51"/>
  <c r="BM10" s="1"/>
  <c r="BK10"/>
  <c r="BK14" s="1"/>
  <c r="R97"/>
  <c r="R50"/>
  <c r="Q192"/>
  <c r="BM151" s="1"/>
  <c r="BK151"/>
  <c r="R192" l="1"/>
  <c r="BN151" s="1"/>
  <c r="BL104"/>
  <c r="BL57"/>
  <c r="R98"/>
  <c r="BN57" s="1"/>
  <c r="C11" i="14"/>
  <c r="BM14" i="7"/>
  <c r="C91" i="14"/>
  <c r="BV66" i="7"/>
  <c r="C63" i="14"/>
  <c r="C130" s="1"/>
  <c r="BL10" i="7"/>
  <c r="R51"/>
  <c r="BN10" s="1"/>
  <c r="C24" i="14"/>
  <c r="BZ66" i="7"/>
  <c r="BY66"/>
  <c r="C37" i="14"/>
  <c r="C104" s="1"/>
  <c r="BX66" i="7"/>
  <c r="C50" i="14"/>
  <c r="C117" s="1"/>
  <c r="G63"/>
  <c r="BV43" i="7"/>
  <c r="CB66" l="1"/>
  <c r="G50" i="14"/>
  <c r="BX43" i="7"/>
  <c r="D85" i="17"/>
  <c r="AJ10" i="14"/>
  <c r="C78"/>
  <c r="G91"/>
  <c r="G11"/>
  <c r="BN14" i="7"/>
  <c r="BW66"/>
  <c r="B11" i="14"/>
  <c r="B91"/>
  <c r="BM13" i="7"/>
  <c r="CA66"/>
  <c r="BZ69"/>
  <c r="BK13"/>
  <c r="J24" i="14" s="1"/>
  <c r="AM10" s="1"/>
  <c r="B24"/>
  <c r="BL14" i="7"/>
  <c r="BZ43"/>
  <c r="CB43" s="1"/>
  <c r="G24" i="14"/>
  <c r="G37"/>
  <c r="BY43" i="7"/>
  <c r="BW43" l="1"/>
  <c r="F24" i="14"/>
  <c r="S59" s="1"/>
  <c r="BL13" i="7"/>
  <c r="B78" i="14"/>
  <c r="F37" i="17"/>
  <c r="AI10" i="14"/>
  <c r="C85" i="17"/>
  <c r="J91" i="14"/>
  <c r="J11"/>
  <c r="BN13" i="7"/>
  <c r="F11" i="14"/>
  <c r="E59" i="17" s="1"/>
  <c r="F91" i="14"/>
  <c r="BZ47" i="7"/>
  <c r="CA43"/>
  <c r="AI55" i="14" s="1"/>
  <c r="F38" i="17" l="1"/>
  <c r="F39" s="1"/>
  <c r="BZ46" i="7"/>
  <c r="Q188" i="12" l="1"/>
  <c r="R188" s="1"/>
  <c r="BH172" l="1"/>
  <c r="BL172" s="1"/>
  <c r="BK172" s="1"/>
  <c r="AJ158" i="9" l="1"/>
  <c r="AK158" s="1"/>
  <c r="AJ104"/>
  <c r="AK104" s="1"/>
  <c r="AJ57"/>
  <c r="AK57" s="1"/>
  <c r="AJ10"/>
  <c r="AK10" s="1"/>
  <c r="AJ151"/>
  <c r="AK151" s="1"/>
  <c r="AJ150"/>
  <c r="AK150" s="1"/>
  <c r="AJ148"/>
  <c r="AK148" s="1"/>
  <c r="AJ134"/>
  <c r="AK134" s="1"/>
  <c r="AJ87"/>
  <c r="AK87" s="1"/>
  <c r="AJ40"/>
  <c r="AK40" s="1"/>
  <c r="AJ181"/>
  <c r="AK181" s="1"/>
  <c r="AJ133"/>
  <c r="AK133" s="1"/>
  <c r="AJ86"/>
  <c r="AK86" s="1"/>
  <c r="AJ39"/>
  <c r="AK39" s="1"/>
  <c r="AJ180"/>
  <c r="AK180" s="1"/>
  <c r="AJ128"/>
  <c r="AJ81"/>
  <c r="AJ34"/>
  <c r="AK34" s="1"/>
  <c r="AJ80"/>
  <c r="AJ33"/>
  <c r="AK33" s="1"/>
  <c r="AJ127"/>
  <c r="AJ79"/>
  <c r="AJ32"/>
  <c r="AK32" s="1"/>
  <c r="AJ126"/>
  <c r="AJ77"/>
  <c r="AJ30"/>
  <c r="AK30" s="1"/>
  <c r="AJ124"/>
  <c r="AJ76"/>
  <c r="AJ29"/>
  <c r="AK29" s="1"/>
  <c r="AJ123"/>
  <c r="AJ75"/>
  <c r="AJ28"/>
  <c r="AK28" s="1"/>
  <c r="AJ122"/>
  <c r="AJ132"/>
  <c r="AK132" s="1"/>
  <c r="AJ85"/>
  <c r="AK85" s="1"/>
  <c r="AJ38"/>
  <c r="AK38" s="1"/>
  <c r="AJ179"/>
  <c r="AK179" s="1"/>
  <c r="AJ120"/>
  <c r="AK120" s="1"/>
  <c r="AJ73"/>
  <c r="AK73" s="1"/>
  <c r="AJ26"/>
  <c r="AK26" s="1"/>
  <c r="AJ167"/>
  <c r="AK167" s="1"/>
  <c r="AJ119"/>
  <c r="AK119" s="1"/>
  <c r="AJ72"/>
  <c r="AK72" s="1"/>
  <c r="AJ25"/>
  <c r="AK25" s="1"/>
  <c r="AJ166"/>
  <c r="AK166" s="1"/>
  <c r="AJ64"/>
  <c r="AK64" s="1"/>
  <c r="AJ17"/>
  <c r="AJ65"/>
  <c r="AK65" s="1"/>
  <c r="AJ18"/>
  <c r="AJ66"/>
  <c r="AK66" s="1"/>
  <c r="AJ19"/>
  <c r="AJ67"/>
  <c r="AK67" s="1"/>
  <c r="AJ20"/>
  <c r="AK20" s="1"/>
  <c r="AJ113"/>
  <c r="AK113" s="1"/>
  <c r="AJ114"/>
  <c r="AK114" s="1"/>
  <c r="AJ112"/>
  <c r="AK112" s="1"/>
  <c r="AJ111"/>
  <c r="AK111" s="1"/>
  <c r="AJ71"/>
  <c r="AK71" s="1"/>
  <c r="AJ24"/>
  <c r="AK24" s="1"/>
  <c r="AJ118"/>
  <c r="AK118" s="1"/>
  <c r="AJ117"/>
  <c r="AK117" s="1"/>
  <c r="AJ70"/>
  <c r="AK70" s="1"/>
  <c r="AJ23"/>
  <c r="AK23" s="1"/>
  <c r="AJ164"/>
  <c r="AK164" s="1"/>
  <c r="AJ109"/>
  <c r="AK109" s="1"/>
  <c r="AJ62"/>
  <c r="AK62" s="1"/>
  <c r="AJ15"/>
  <c r="AK15" s="1"/>
  <c r="AJ156"/>
  <c r="AK156" s="1"/>
  <c r="AJ108"/>
  <c r="AK108" s="1"/>
  <c r="AJ61"/>
  <c r="AK61" s="1"/>
  <c r="AJ14"/>
  <c r="AK14" s="1"/>
  <c r="AJ155"/>
  <c r="AK155" s="1"/>
  <c r="AJ154"/>
  <c r="AK154" s="1"/>
  <c r="AJ56"/>
  <c r="AK56" s="1"/>
  <c r="AJ9"/>
  <c r="AK9" s="1"/>
  <c r="AJ103"/>
  <c r="AK103" s="1"/>
  <c r="AJ102"/>
  <c r="AK102" s="1"/>
  <c r="AJ55"/>
  <c r="AK55" s="1"/>
  <c r="AJ8"/>
  <c r="AK8" s="1"/>
  <c r="AJ149"/>
  <c r="AK149" s="1"/>
  <c r="AJ54"/>
  <c r="AK54" s="1"/>
  <c r="AJ7"/>
  <c r="AK7" s="1"/>
  <c r="AJ101"/>
  <c r="AK101" s="1"/>
  <c r="AK19" l="1"/>
  <c r="AK17"/>
  <c r="AK18"/>
  <c r="AK106"/>
  <c r="AJ106"/>
  <c r="BI117" s="1"/>
  <c r="AJ60"/>
  <c r="AK60" s="1"/>
  <c r="BI122"/>
  <c r="AK121"/>
  <c r="AJ121"/>
  <c r="BI120" s="1"/>
  <c r="BI169"/>
  <c r="AK41"/>
  <c r="AJ41"/>
  <c r="AK163"/>
  <c r="AJ163"/>
  <c r="BI166" s="1"/>
  <c r="BW89" s="1"/>
  <c r="AK59"/>
  <c r="AJ59"/>
  <c r="BI70" s="1"/>
  <c r="AK157"/>
  <c r="AJ157"/>
  <c r="BI165" s="1"/>
  <c r="AK168"/>
  <c r="AJ168"/>
  <c r="BI167" s="1"/>
  <c r="BI28"/>
  <c r="O78" i="14" s="1"/>
  <c r="AK31" i="9"/>
  <c r="AJ31"/>
  <c r="AK88"/>
  <c r="AJ88"/>
  <c r="AK74"/>
  <c r="AJ74"/>
  <c r="BI73" s="1"/>
  <c r="AK69"/>
  <c r="AJ69"/>
  <c r="BI72" s="1"/>
  <c r="BW92" s="1"/>
  <c r="AK182"/>
  <c r="AJ182"/>
  <c r="AK153"/>
  <c r="AJ153"/>
  <c r="BI164" s="1"/>
  <c r="AK12"/>
  <c r="AJ12"/>
  <c r="BI23" s="1"/>
  <c r="O73" i="14" s="1"/>
  <c r="AJ107" i="9"/>
  <c r="AK107" s="1"/>
  <c r="AK116"/>
  <c r="AJ116"/>
  <c r="BI119" s="1"/>
  <c r="BW91" s="1"/>
  <c r="AJ125"/>
  <c r="AJ13"/>
  <c r="AK13" s="1"/>
  <c r="AK27"/>
  <c r="AJ27"/>
  <c r="AJ22"/>
  <c r="BI25" s="1"/>
  <c r="O75" i="14" s="1"/>
  <c r="BI75" i="9"/>
  <c r="AJ78"/>
  <c r="AK135"/>
  <c r="AJ135"/>
  <c r="AJ129"/>
  <c r="AJ130" s="1"/>
  <c r="AK22" l="1"/>
  <c r="BI26"/>
  <c r="O76" i="14" s="1"/>
  <c r="AJ131" i="9"/>
  <c r="BI121" s="1"/>
  <c r="AK191"/>
  <c r="AK192" s="1"/>
  <c r="BN152" s="1"/>
  <c r="P38"/>
  <c r="P16"/>
  <c r="P37"/>
  <c r="P12"/>
  <c r="N187"/>
  <c r="I191"/>
  <c r="AK110"/>
  <c r="AK144" s="1"/>
  <c r="AJ110"/>
  <c r="BI118" s="1"/>
  <c r="N38"/>
  <c r="AJ35"/>
  <c r="AK35" s="1"/>
  <c r="N157"/>
  <c r="P106"/>
  <c r="P110"/>
  <c r="P131"/>
  <c r="P132"/>
  <c r="N153"/>
  <c r="N12"/>
  <c r="BW90"/>
  <c r="O131"/>
  <c r="O132"/>
  <c r="O106"/>
  <c r="O110"/>
  <c r="N179"/>
  <c r="BI123"/>
  <c r="BW93"/>
  <c r="BI170"/>
  <c r="AJ191"/>
  <c r="BI29"/>
  <c r="O79" i="14" s="1"/>
  <c r="AK63" i="9"/>
  <c r="AK97" s="1"/>
  <c r="AJ63"/>
  <c r="BI71" s="1"/>
  <c r="P84"/>
  <c r="P85"/>
  <c r="P59"/>
  <c r="P63"/>
  <c r="N16"/>
  <c r="AJ82"/>
  <c r="AJ83" s="1"/>
  <c r="AJ84" s="1"/>
  <c r="O85"/>
  <c r="O59"/>
  <c r="O63"/>
  <c r="O84"/>
  <c r="O37"/>
  <c r="O16"/>
  <c r="O38"/>
  <c r="O12"/>
  <c r="N178"/>
  <c r="AK16"/>
  <c r="AJ16"/>
  <c r="BI24" s="1"/>
  <c r="O74" i="14" s="1"/>
  <c r="N37" i="9"/>
  <c r="N46"/>
  <c r="I50"/>
  <c r="BI76"/>
  <c r="AI191" l="1"/>
  <c r="AH191"/>
  <c r="BI152" s="1"/>
  <c r="AG191"/>
  <c r="L22"/>
  <c r="BL152"/>
  <c r="BV44" s="1"/>
  <c r="AJ144"/>
  <c r="Q12"/>
  <c r="Q37"/>
  <c r="R37" s="1"/>
  <c r="L41"/>
  <c r="AR41" s="1"/>
  <c r="L37"/>
  <c r="BI74"/>
  <c r="AJ97"/>
  <c r="AK98"/>
  <c r="BN58" s="1"/>
  <c r="BL58"/>
  <c r="N132"/>
  <c r="Q132" s="1"/>
  <c r="R132" s="1"/>
  <c r="L132"/>
  <c r="L140"/>
  <c r="N140"/>
  <c r="I144"/>
  <c r="BK152"/>
  <c r="AJ192"/>
  <c r="BM152" s="1"/>
  <c r="BJ152"/>
  <c r="O140"/>
  <c r="J144"/>
  <c r="AK145"/>
  <c r="BN105" s="1"/>
  <c r="BL105"/>
  <c r="L74"/>
  <c r="AR74" s="1"/>
  <c r="L121"/>
  <c r="AR121" s="1"/>
  <c r="Q16"/>
  <c r="R16" s="1"/>
  <c r="P93"/>
  <c r="K97"/>
  <c r="AK36"/>
  <c r="AK37" s="1"/>
  <c r="AK50" s="1"/>
  <c r="AJ36"/>
  <c r="AJ37" s="1"/>
  <c r="N84"/>
  <c r="Q84" s="1"/>
  <c r="R84" s="1"/>
  <c r="L84"/>
  <c r="L69"/>
  <c r="L27"/>
  <c r="AR27" s="1"/>
  <c r="P153"/>
  <c r="P178"/>
  <c r="P157"/>
  <c r="P179"/>
  <c r="O93"/>
  <c r="J97"/>
  <c r="L110"/>
  <c r="N110"/>
  <c r="Q110" s="1"/>
  <c r="R110" s="1"/>
  <c r="L116"/>
  <c r="L16"/>
  <c r="L12"/>
  <c r="L59"/>
  <c r="N59"/>
  <c r="Q59" s="1"/>
  <c r="R59" s="1"/>
  <c r="L88"/>
  <c r="AR88" s="1"/>
  <c r="Q38"/>
  <c r="R38" s="1"/>
  <c r="P46"/>
  <c r="K50"/>
  <c r="O46"/>
  <c r="J50"/>
  <c r="N63"/>
  <c r="Q63" s="1"/>
  <c r="R63" s="1"/>
  <c r="L63"/>
  <c r="L106"/>
  <c r="N106"/>
  <c r="Q106" s="1"/>
  <c r="R106" s="1"/>
  <c r="P140"/>
  <c r="K144"/>
  <c r="L46"/>
  <c r="L131"/>
  <c r="N131"/>
  <c r="Q131" s="1"/>
  <c r="R131" s="1"/>
  <c r="L135"/>
  <c r="AR135" s="1"/>
  <c r="L85"/>
  <c r="N85"/>
  <c r="Q85" s="1"/>
  <c r="R85" s="1"/>
  <c r="L93"/>
  <c r="N93"/>
  <c r="I97"/>
  <c r="L38"/>
  <c r="AR68" l="1"/>
  <c r="AR67"/>
  <c r="AR66"/>
  <c r="AR65"/>
  <c r="AR64"/>
  <c r="AG97"/>
  <c r="BH58" s="1"/>
  <c r="AI97"/>
  <c r="BJ58" s="1"/>
  <c r="AH97"/>
  <c r="BI58" s="1"/>
  <c r="AR21"/>
  <c r="AR18"/>
  <c r="AR17"/>
  <c r="AR19"/>
  <c r="AR20"/>
  <c r="AH144"/>
  <c r="BI105" s="1"/>
  <c r="AG144"/>
  <c r="BH105" s="1"/>
  <c r="AI144"/>
  <c r="AR114"/>
  <c r="AR113"/>
  <c r="AR112"/>
  <c r="AR111"/>
  <c r="AR115"/>
  <c r="BH23"/>
  <c r="BL23" s="1"/>
  <c r="BK23" s="1"/>
  <c r="R12"/>
  <c r="Q46"/>
  <c r="H66" i="14"/>
  <c r="BH152" i="9"/>
  <c r="BK105"/>
  <c r="D53" i="14" s="1"/>
  <c r="D120" s="1"/>
  <c r="BJ105" i="9"/>
  <c r="AJ145"/>
  <c r="BM105" s="1"/>
  <c r="BH27"/>
  <c r="L50"/>
  <c r="Q93"/>
  <c r="R93" s="1"/>
  <c r="O153"/>
  <c r="Q153" s="1"/>
  <c r="R153" s="1"/>
  <c r="L153"/>
  <c r="O157"/>
  <c r="Q157" s="1"/>
  <c r="R157" s="1"/>
  <c r="L157"/>
  <c r="BH28"/>
  <c r="BH118"/>
  <c r="BL118" s="1"/>
  <c r="BK118" s="1"/>
  <c r="BI27"/>
  <c r="O77" i="14" s="1"/>
  <c r="AJ50" i="9"/>
  <c r="BH122"/>
  <c r="BL122" s="1"/>
  <c r="BK122" s="1"/>
  <c r="H40" i="14"/>
  <c r="BY44" i="9"/>
  <c r="O187"/>
  <c r="J191"/>
  <c r="L187"/>
  <c r="BL11"/>
  <c r="AK51"/>
  <c r="BN11" s="1"/>
  <c r="H53" i="14"/>
  <c r="BX44" i="9"/>
  <c r="BW44" s="1"/>
  <c r="Q140"/>
  <c r="R140" s="1"/>
  <c r="BH75"/>
  <c r="BL75" s="1"/>
  <c r="BK75" s="1"/>
  <c r="BH121"/>
  <c r="BL121" s="1"/>
  <c r="BK121" s="1"/>
  <c r="O179"/>
  <c r="Q179" s="1"/>
  <c r="R179" s="1"/>
  <c r="L179"/>
  <c r="L182"/>
  <c r="AR182" s="1"/>
  <c r="D66" i="14"/>
  <c r="D133" s="1"/>
  <c r="BV67" i="9"/>
  <c r="L144"/>
  <c r="AJ98"/>
  <c r="BM58" s="1"/>
  <c r="BK58"/>
  <c r="BH117"/>
  <c r="BL117" s="1"/>
  <c r="BK117" s="1"/>
  <c r="L97"/>
  <c r="L168"/>
  <c r="AR168" s="1"/>
  <c r="BH71"/>
  <c r="BL71" s="1"/>
  <c r="BK71" s="1"/>
  <c r="L163"/>
  <c r="O178"/>
  <c r="Q178" s="1"/>
  <c r="R178" s="1"/>
  <c r="L178"/>
  <c r="BH70"/>
  <c r="BL70" s="1"/>
  <c r="BK70" s="1"/>
  <c r="P187"/>
  <c r="K191"/>
  <c r="BH74"/>
  <c r="BL74" s="1"/>
  <c r="BK74" s="1"/>
  <c r="BH24"/>
  <c r="BH30" l="1"/>
  <c r="BL30" s="1"/>
  <c r="BK30" s="1"/>
  <c r="R46"/>
  <c r="AR160"/>
  <c r="AR158"/>
  <c r="AR162"/>
  <c r="AR161"/>
  <c r="AR159"/>
  <c r="AI50"/>
  <c r="BJ11" s="1"/>
  <c r="AH50"/>
  <c r="BI11" s="1"/>
  <c r="AG50"/>
  <c r="BH11" s="1"/>
  <c r="AR50"/>
  <c r="BX67"/>
  <c r="BW67" s="1"/>
  <c r="AS27"/>
  <c r="AS20"/>
  <c r="AT20" s="1"/>
  <c r="AS21"/>
  <c r="AT21" s="1"/>
  <c r="AS19"/>
  <c r="AT19" s="1"/>
  <c r="AS135"/>
  <c r="AS182"/>
  <c r="AS41"/>
  <c r="AS18"/>
  <c r="AT18" s="1"/>
  <c r="AS17"/>
  <c r="AT17" s="1"/>
  <c r="AS121"/>
  <c r="AS67"/>
  <c r="AT67" s="1"/>
  <c r="AS115"/>
  <c r="AT115" s="1"/>
  <c r="AS113"/>
  <c r="AT113" s="1"/>
  <c r="D40" i="14"/>
  <c r="D107" s="1"/>
  <c r="BY67" i="9"/>
  <c r="H94" i="14"/>
  <c r="H14"/>
  <c r="BL24" i="9"/>
  <c r="BK24" s="1"/>
  <c r="AS114"/>
  <c r="AT114" s="1"/>
  <c r="BH169"/>
  <c r="BL169" s="1"/>
  <c r="BK169" s="1"/>
  <c r="H27" i="14"/>
  <c r="BZ44" i="9"/>
  <c r="AS66"/>
  <c r="AT66" s="1"/>
  <c r="BL28"/>
  <c r="BK28" s="1"/>
  <c r="AR144"/>
  <c r="AS111"/>
  <c r="AT111" s="1"/>
  <c r="BH168"/>
  <c r="BL168" s="1"/>
  <c r="BK168" s="1"/>
  <c r="AJ51"/>
  <c r="BM11" s="1"/>
  <c r="BK11"/>
  <c r="BH77"/>
  <c r="BL77" s="1"/>
  <c r="BK77" s="1"/>
  <c r="AS74"/>
  <c r="AT74" s="1"/>
  <c r="AS65"/>
  <c r="AT65" s="1"/>
  <c r="Q187"/>
  <c r="R187" s="1"/>
  <c r="BH165"/>
  <c r="BL165" s="1"/>
  <c r="BK165" s="1"/>
  <c r="AS112"/>
  <c r="AT112" s="1"/>
  <c r="BL27"/>
  <c r="BK27" s="1"/>
  <c r="AS88"/>
  <c r="AT88" s="1"/>
  <c r="BH124"/>
  <c r="BL124" s="1"/>
  <c r="BK124" s="1"/>
  <c r="AS68"/>
  <c r="AT68" s="1"/>
  <c r="AR97"/>
  <c r="AS64"/>
  <c r="AT64" s="1"/>
  <c r="L191"/>
  <c r="BH164"/>
  <c r="BL164" s="1"/>
  <c r="BK164" s="1"/>
  <c r="AT135" l="1"/>
  <c r="AV135" s="1"/>
  <c r="AZ135" s="1"/>
  <c r="AT41"/>
  <c r="AV41" s="1"/>
  <c r="O41" s="1"/>
  <c r="AT27"/>
  <c r="AW27" s="1"/>
  <c r="AT121"/>
  <c r="AU121" s="1"/>
  <c r="N121" s="1"/>
  <c r="AT182"/>
  <c r="BB182" s="1"/>
  <c r="BC182" s="1"/>
  <c r="CA44"/>
  <c r="AL56" i="14" s="1"/>
  <c r="CB44" i="9"/>
  <c r="AS50"/>
  <c r="AS168"/>
  <c r="AS161"/>
  <c r="AT161" s="1"/>
  <c r="AU74"/>
  <c r="BB74"/>
  <c r="BC74" s="1"/>
  <c r="AW74"/>
  <c r="AV74"/>
  <c r="D94" i="14"/>
  <c r="D95" s="1"/>
  <c r="H95" s="1"/>
  <c r="D14"/>
  <c r="D15" s="1"/>
  <c r="H15" s="1"/>
  <c r="AS144" i="9"/>
  <c r="AS162"/>
  <c r="AT162" s="1"/>
  <c r="AW88"/>
  <c r="AV88"/>
  <c r="BB88"/>
  <c r="BC88" s="1"/>
  <c r="AU88"/>
  <c r="D169" i="14"/>
  <c r="D206" s="1"/>
  <c r="D168"/>
  <c r="D205" s="1"/>
  <c r="AS159" i="9"/>
  <c r="AT159" s="1"/>
  <c r="AS160"/>
  <c r="AT160" s="1"/>
  <c r="BH171"/>
  <c r="BL171" s="1"/>
  <c r="BK171" s="1"/>
  <c r="D27" i="14"/>
  <c r="BZ67" i="9"/>
  <c r="AS97"/>
  <c r="AT22"/>
  <c r="D167" i="14"/>
  <c r="D204" s="1"/>
  <c r="BK17" i="9"/>
  <c r="AR191"/>
  <c r="AS158"/>
  <c r="AT158" s="1"/>
  <c r="AV121" l="1"/>
  <c r="O121" s="1"/>
  <c r="BB121"/>
  <c r="AW135"/>
  <c r="P135" s="1"/>
  <c r="AW121"/>
  <c r="P121" s="1"/>
  <c r="Q121" s="1"/>
  <c r="R121" s="1"/>
  <c r="AU41"/>
  <c r="AY41" s="1"/>
  <c r="BB41"/>
  <c r="BC41" s="1"/>
  <c r="AW41"/>
  <c r="AT50"/>
  <c r="BB27"/>
  <c r="AV27"/>
  <c r="O27" s="1"/>
  <c r="BA27"/>
  <c r="P27"/>
  <c r="BJ170"/>
  <c r="O135"/>
  <c r="AY121"/>
  <c r="AZ41"/>
  <c r="AU27"/>
  <c r="AY27" s="1"/>
  <c r="AW182"/>
  <c r="BA182" s="1"/>
  <c r="AV182"/>
  <c r="AZ182" s="1"/>
  <c r="AU135"/>
  <c r="AY135" s="1"/>
  <c r="AT168"/>
  <c r="AW168" s="1"/>
  <c r="AU182"/>
  <c r="AY182" s="1"/>
  <c r="BB135"/>
  <c r="BJ120"/>
  <c r="BC121"/>
  <c r="CA67"/>
  <c r="CB67"/>
  <c r="AZ27"/>
  <c r="P182"/>
  <c r="BJ29"/>
  <c r="BA135"/>
  <c r="AZ121"/>
  <c r="AS191"/>
  <c r="BJ76"/>
  <c r="BJ73"/>
  <c r="AV22"/>
  <c r="AW22"/>
  <c r="BB22"/>
  <c r="BC22" s="1"/>
  <c r="AU22"/>
  <c r="D81" i="14"/>
  <c r="D82" s="1"/>
  <c r="AK13"/>
  <c r="AK14" s="1"/>
  <c r="D28"/>
  <c r="H28" s="1"/>
  <c r="AZ88" i="9"/>
  <c r="O88"/>
  <c r="T45" i="14"/>
  <c r="T35"/>
  <c r="AY74" i="9"/>
  <c r="N74"/>
  <c r="AY88"/>
  <c r="N88"/>
  <c r="P74"/>
  <c r="BA74"/>
  <c r="AT69"/>
  <c r="AT97" s="1"/>
  <c r="BA88"/>
  <c r="P88"/>
  <c r="AT116"/>
  <c r="AZ74"/>
  <c r="O74"/>
  <c r="BA121" l="1"/>
  <c r="AU168"/>
  <c r="N168" s="1"/>
  <c r="BC27"/>
  <c r="BC50" s="1"/>
  <c r="AV168"/>
  <c r="O168" s="1"/>
  <c r="N41"/>
  <c r="BJ26"/>
  <c r="BA41"/>
  <c r="P41"/>
  <c r="Q41" s="1"/>
  <c r="N135"/>
  <c r="Q135" s="1"/>
  <c r="R135" s="1"/>
  <c r="BB168"/>
  <c r="BC168" s="1"/>
  <c r="P168"/>
  <c r="BA168"/>
  <c r="N182"/>
  <c r="O182"/>
  <c r="N27"/>
  <c r="Q27" s="1"/>
  <c r="R27" s="1"/>
  <c r="BJ167"/>
  <c r="BJ123"/>
  <c r="BC135"/>
  <c r="AY168"/>
  <c r="S35" i="14"/>
  <c r="S45" s="1"/>
  <c r="Q74" i="9"/>
  <c r="R74" s="1"/>
  <c r="AV116"/>
  <c r="BB116"/>
  <c r="BC116" s="1"/>
  <c r="AW116"/>
  <c r="AU116"/>
  <c r="H82" i="14"/>
  <c r="AY22" i="9"/>
  <c r="AY50" s="1"/>
  <c r="BH12" s="1"/>
  <c r="N22"/>
  <c r="BJ25"/>
  <c r="BB50"/>
  <c r="AZ22"/>
  <c r="AZ50" s="1"/>
  <c r="BI12" s="1"/>
  <c r="O22"/>
  <c r="O50" s="1"/>
  <c r="BI10" s="1"/>
  <c r="AT163"/>
  <c r="AT191" s="1"/>
  <c r="AT144"/>
  <c r="BH120"/>
  <c r="BL120" s="1"/>
  <c r="BK120" s="1"/>
  <c r="AV69"/>
  <c r="AW69"/>
  <c r="AU69"/>
  <c r="BB69"/>
  <c r="BC69" s="1"/>
  <c r="Q88"/>
  <c r="R88" s="1"/>
  <c r="BA22"/>
  <c r="P22"/>
  <c r="Q168" l="1"/>
  <c r="R168" s="1"/>
  <c r="BA50"/>
  <c r="BJ12" s="1"/>
  <c r="P50"/>
  <c r="BJ10" s="1"/>
  <c r="C169" i="14" s="1"/>
  <c r="C206" s="1"/>
  <c r="AZ168" i="9"/>
  <c r="Q182"/>
  <c r="BH170" s="1"/>
  <c r="BL170" s="1"/>
  <c r="BK170" s="1"/>
  <c r="BH123"/>
  <c r="BL123" s="1"/>
  <c r="BK123" s="1"/>
  <c r="R41"/>
  <c r="BH29"/>
  <c r="BL29" s="1"/>
  <c r="BK29" s="1"/>
  <c r="BH26"/>
  <c r="BL26" s="1"/>
  <c r="BK26" s="1"/>
  <c r="W35" i="14"/>
  <c r="BH73" i="9"/>
  <c r="BL73" s="1"/>
  <c r="BK73" s="1"/>
  <c r="BA69"/>
  <c r="BA97" s="1"/>
  <c r="BJ59" s="1"/>
  <c r="P69"/>
  <c r="P97" s="1"/>
  <c r="BJ57" s="1"/>
  <c r="BH167"/>
  <c r="BL167" s="1"/>
  <c r="BK167" s="1"/>
  <c r="BC51"/>
  <c r="BN12" s="1"/>
  <c r="BL12"/>
  <c r="Q22"/>
  <c r="R22" s="1"/>
  <c r="N50"/>
  <c r="BH10" s="1"/>
  <c r="BA116"/>
  <c r="BA144" s="1"/>
  <c r="BJ106" s="1"/>
  <c r="P116"/>
  <c r="P144" s="1"/>
  <c r="BJ104" s="1"/>
  <c r="E169" i="14"/>
  <c r="E206" s="1"/>
  <c r="AZ69" i="9"/>
  <c r="AZ97" s="1"/>
  <c r="BI59" s="1"/>
  <c r="O69"/>
  <c r="O97" s="1"/>
  <c r="BI57" s="1"/>
  <c r="AU163"/>
  <c r="BB163"/>
  <c r="BC163" s="1"/>
  <c r="AV163"/>
  <c r="AW163"/>
  <c r="C168" i="14"/>
  <c r="C205" s="1"/>
  <c r="BI14" i="9"/>
  <c r="BI13" s="1"/>
  <c r="E167" i="14"/>
  <c r="E204" s="1"/>
  <c r="BC144" i="9"/>
  <c r="BJ119"/>
  <c r="BX91" s="1"/>
  <c r="BB144"/>
  <c r="BC97"/>
  <c r="BJ72"/>
  <c r="BX92" s="1"/>
  <c r="BB97"/>
  <c r="E168" i="14"/>
  <c r="E205" s="1"/>
  <c r="BB51" i="9"/>
  <c r="BM12" s="1"/>
  <c r="BK12"/>
  <c r="AZ116"/>
  <c r="AZ144" s="1"/>
  <c r="BI106" s="1"/>
  <c r="O116"/>
  <c r="O144" s="1"/>
  <c r="BI104" s="1"/>
  <c r="BH76"/>
  <c r="BL76" s="1"/>
  <c r="BK76" s="1"/>
  <c r="N69"/>
  <c r="AY69"/>
  <c r="AY97" s="1"/>
  <c r="BH59" s="1"/>
  <c r="BX93"/>
  <c r="AY116"/>
  <c r="AY144" s="1"/>
  <c r="BH106" s="1"/>
  <c r="N116"/>
  <c r="BJ14" l="1"/>
  <c r="BJ13" s="1"/>
  <c r="R182"/>
  <c r="W45" i="14"/>
  <c r="BI108" i="9"/>
  <c r="BI107" s="1"/>
  <c r="BJ108"/>
  <c r="BJ107" s="1"/>
  <c r="BI61"/>
  <c r="BI60" s="1"/>
  <c r="BK59"/>
  <c r="BB98"/>
  <c r="BM59" s="1"/>
  <c r="BC145"/>
  <c r="BN106" s="1"/>
  <c r="BL106"/>
  <c r="R50"/>
  <c r="BH25"/>
  <c r="Q50"/>
  <c r="I94" i="14"/>
  <c r="I14"/>
  <c r="E14"/>
  <c r="E94"/>
  <c r="Q69" i="9"/>
  <c r="R69" s="1"/>
  <c r="N97"/>
  <c r="BH57" s="1"/>
  <c r="BH61" s="1"/>
  <c r="BH60" s="1"/>
  <c r="BC98"/>
  <c r="BN59" s="1"/>
  <c r="BL59"/>
  <c r="BB145"/>
  <c r="BM106" s="1"/>
  <c r="BK106"/>
  <c r="AY163"/>
  <c r="AY191" s="1"/>
  <c r="BH153" s="1"/>
  <c r="N163"/>
  <c r="F206" i="14"/>
  <c r="F169"/>
  <c r="Q116" i="9"/>
  <c r="R116" s="1"/>
  <c r="N144"/>
  <c r="BH104" s="1"/>
  <c r="BH108" s="1"/>
  <c r="BH107" s="1"/>
  <c r="BZ68"/>
  <c r="E27" i="14"/>
  <c r="F205"/>
  <c r="F168"/>
  <c r="O163" i="9"/>
  <c r="O191" s="1"/>
  <c r="BI151" s="1"/>
  <c r="AZ163"/>
  <c r="AZ191" s="1"/>
  <c r="BI153" s="1"/>
  <c r="BC191"/>
  <c r="BJ166"/>
  <c r="BX89" s="1"/>
  <c r="BX90" s="1"/>
  <c r="BB191"/>
  <c r="P163"/>
  <c r="P191" s="1"/>
  <c r="BJ151" s="1"/>
  <c r="BA163"/>
  <c r="BA191" s="1"/>
  <c r="BJ153" s="1"/>
  <c r="C167" i="14"/>
  <c r="C204" s="1"/>
  <c r="BH14" i="9"/>
  <c r="BH13" s="1"/>
  <c r="I27" i="14"/>
  <c r="BZ45" i="9"/>
  <c r="BJ61"/>
  <c r="BJ60" s="1"/>
  <c r="F204" i="14" l="1"/>
  <c r="BJ155" i="9"/>
  <c r="BJ154" s="1"/>
  <c r="BI155"/>
  <c r="BI154" s="1"/>
  <c r="R144"/>
  <c r="BH119"/>
  <c r="Q144"/>
  <c r="Q163"/>
  <c r="R163" s="1"/>
  <c r="N191"/>
  <c r="BH151" s="1"/>
  <c r="BH155" s="1"/>
  <c r="BH154" s="1"/>
  <c r="E40" i="14"/>
  <c r="E107" s="1"/>
  <c r="BY68" i="9"/>
  <c r="BB192"/>
  <c r="BM153" s="1"/>
  <c r="BK153"/>
  <c r="E81" i="14"/>
  <c r="AL13"/>
  <c r="BY45" i="9"/>
  <c r="I40" i="14"/>
  <c r="R97" i="9"/>
  <c r="BH72"/>
  <c r="Q97"/>
  <c r="BV93"/>
  <c r="BL25"/>
  <c r="BK25" s="1"/>
  <c r="I53" i="14"/>
  <c r="BX45" i="9"/>
  <c r="BL10"/>
  <c r="R51"/>
  <c r="BN10" s="1"/>
  <c r="BK10"/>
  <c r="Q51"/>
  <c r="BM10" s="1"/>
  <c r="BC192"/>
  <c r="BN153" s="1"/>
  <c r="BL153"/>
  <c r="BX68"/>
  <c r="E53" i="14"/>
  <c r="E120" s="1"/>
  <c r="F167"/>
  <c r="C27" l="1"/>
  <c r="BK14" i="9"/>
  <c r="BZ66"/>
  <c r="G94" i="14"/>
  <c r="G14"/>
  <c r="BN14" i="9"/>
  <c r="BV92"/>
  <c r="BL72"/>
  <c r="BK72" s="1"/>
  <c r="BV68"/>
  <c r="E66" i="14"/>
  <c r="E133" s="1"/>
  <c r="Q145" i="9"/>
  <c r="BM104" s="1"/>
  <c r="BM108" s="1"/>
  <c r="BM107" s="1"/>
  <c r="BK104"/>
  <c r="BZ43"/>
  <c r="G27" i="14"/>
  <c r="BL14" i="9"/>
  <c r="BL57"/>
  <c r="R98"/>
  <c r="BN57" s="1"/>
  <c r="BN61" s="1"/>
  <c r="BN60" s="1"/>
  <c r="BL119"/>
  <c r="BK119" s="1"/>
  <c r="BV91"/>
  <c r="BL104"/>
  <c r="R145"/>
  <c r="BN104" s="1"/>
  <c r="BN108" s="1"/>
  <c r="BN107" s="1"/>
  <c r="I66" i="14"/>
  <c r="BV45" i="9"/>
  <c r="C94" i="14"/>
  <c r="BM14" i="9"/>
  <c r="C14" i="14"/>
  <c r="BK57" i="9"/>
  <c r="Q98"/>
  <c r="BM57" s="1"/>
  <c r="BM61" s="1"/>
  <c r="BM60" s="1"/>
  <c r="R191"/>
  <c r="BH166"/>
  <c r="Q191"/>
  <c r="CA45" l="1"/>
  <c r="AL57" i="14" s="1"/>
  <c r="CB45" i="9"/>
  <c r="CA68"/>
  <c r="CB68"/>
  <c r="BW68"/>
  <c r="BL166"/>
  <c r="BK166" s="1"/>
  <c r="BV89"/>
  <c r="BV90" s="1"/>
  <c r="B94" i="14"/>
  <c r="B14"/>
  <c r="BM13" i="9"/>
  <c r="G53" i="14"/>
  <c r="BL108" i="9"/>
  <c r="BX43"/>
  <c r="BX47" s="1"/>
  <c r="BX46" s="1"/>
  <c r="BZ47"/>
  <c r="BW45"/>
  <c r="F94" i="14"/>
  <c r="F14"/>
  <c r="E62" i="17" s="1"/>
  <c r="BN13" i="9"/>
  <c r="BK16"/>
  <c r="B27" i="14"/>
  <c r="BK13" i="9"/>
  <c r="J27" i="14" s="1"/>
  <c r="AM13" s="1"/>
  <c r="G40"/>
  <c r="BY43" i="9"/>
  <c r="BY47" s="1"/>
  <c r="BY46" s="1"/>
  <c r="BL61"/>
  <c r="BX66"/>
  <c r="BX69" s="1"/>
  <c r="C53" i="14"/>
  <c r="C120" s="1"/>
  <c r="BK108" i="9"/>
  <c r="C81" i="14"/>
  <c r="D88" i="17"/>
  <c r="AJ13" i="14"/>
  <c r="BZ69" i="9"/>
  <c r="R192"/>
  <c r="BN151" s="1"/>
  <c r="BN155" s="1"/>
  <c r="BN154" s="1"/>
  <c r="BL151"/>
  <c r="BK61"/>
  <c r="C40" i="14"/>
  <c r="C107" s="1"/>
  <c r="BY66" i="9"/>
  <c r="BY69" s="1"/>
  <c r="Q192"/>
  <c r="BM151" s="1"/>
  <c r="BM155" s="1"/>
  <c r="BM154" s="1"/>
  <c r="BK151"/>
  <c r="F27" i="14"/>
  <c r="S62" s="1"/>
  <c r="BL13" i="9"/>
  <c r="BZ46" l="1"/>
  <c r="BK155"/>
  <c r="BV66"/>
  <c r="CB66" s="1"/>
  <c r="C66" i="14"/>
  <c r="C133" s="1"/>
  <c r="B53"/>
  <c r="B120" s="1"/>
  <c r="BK107" i="9"/>
  <c r="J53" i="14" s="1"/>
  <c r="B81"/>
  <c r="I37" i="17"/>
  <c r="AI13" i="14"/>
  <c r="C88" i="17"/>
  <c r="F53" i="14"/>
  <c r="Q62" s="1"/>
  <c r="BL107" i="9"/>
  <c r="B40" i="14"/>
  <c r="B107" s="1"/>
  <c r="BK60" i="9"/>
  <c r="J40" i="14" s="1"/>
  <c r="F40"/>
  <c r="R62" s="1"/>
  <c r="BL60" i="9"/>
  <c r="J14" i="14"/>
  <c r="J94"/>
  <c r="BL155" i="9"/>
  <c r="G66" i="14"/>
  <c r="BV43" i="9"/>
  <c r="CB43" s="1"/>
  <c r="I38" i="17" l="1"/>
  <c r="I39" s="1"/>
  <c r="B66" i="14"/>
  <c r="B133" s="1"/>
  <c r="BK154" i="9"/>
  <c r="J66" i="14" s="1"/>
  <c r="BV47" i="9"/>
  <c r="CB47" s="1"/>
  <c r="BW43"/>
  <c r="BW47" s="1"/>
  <c r="BW46" s="1"/>
  <c r="CA43"/>
  <c r="AL55" i="14" s="1"/>
  <c r="F66"/>
  <c r="O62" s="1"/>
  <c r="P62" s="1"/>
  <c r="BL154" i="9"/>
  <c r="BW66"/>
  <c r="BW69" s="1"/>
  <c r="BV69"/>
  <c r="CA66"/>
  <c r="CA69" l="1"/>
  <c r="CB69"/>
  <c r="BV46"/>
  <c r="CA47"/>
  <c r="AL59" i="14" s="1"/>
  <c r="CA46" i="9" l="1"/>
  <c r="AL58" i="14" s="1"/>
  <c r="CB46" i="9"/>
  <c r="W116" i="7" l="1"/>
  <c r="AJ114"/>
  <c r="AK114" s="1"/>
  <c r="W163"/>
  <c r="AJ161"/>
  <c r="AK161" s="1"/>
  <c r="W69"/>
  <c r="AJ67"/>
  <c r="AK67" s="1"/>
  <c r="AK163" l="1"/>
  <c r="AK191" s="1"/>
  <c r="AJ163"/>
  <c r="AK69"/>
  <c r="AK97" s="1"/>
  <c r="AJ69"/>
  <c r="AK116"/>
  <c r="AK144" s="1"/>
  <c r="AJ116"/>
  <c r="BL152" l="1"/>
  <c r="AK192"/>
  <c r="BN152" s="1"/>
  <c r="BN155" s="1"/>
  <c r="BN154" s="1"/>
  <c r="BI72"/>
  <c r="AJ97"/>
  <c r="BL58"/>
  <c r="AK98"/>
  <c r="BN58" s="1"/>
  <c r="BN61" s="1"/>
  <c r="BN60" s="1"/>
  <c r="AK145"/>
  <c r="BN105" s="1"/>
  <c r="BN108" s="1"/>
  <c r="BN107" s="1"/>
  <c r="BL105"/>
  <c r="BI119"/>
  <c r="AJ144"/>
  <c r="BI166"/>
  <c r="AJ191"/>
  <c r="AI191" l="1"/>
  <c r="AH191"/>
  <c r="BI152" s="1"/>
  <c r="BI155" s="1"/>
  <c r="BI154" s="1"/>
  <c r="AG191"/>
  <c r="BH152" s="1"/>
  <c r="BH155" s="1"/>
  <c r="BH154" s="1"/>
  <c r="AG97"/>
  <c r="BH58" s="1"/>
  <c r="BH61" s="1"/>
  <c r="BH60" s="1"/>
  <c r="AI97"/>
  <c r="BJ58" s="1"/>
  <c r="BJ61" s="1"/>
  <c r="BJ60" s="1"/>
  <c r="AH97"/>
  <c r="AH144"/>
  <c r="BI105" s="1"/>
  <c r="BI108" s="1"/>
  <c r="BI107" s="1"/>
  <c r="AG144"/>
  <c r="BH105" s="1"/>
  <c r="BH108" s="1"/>
  <c r="BH107" s="1"/>
  <c r="AI144"/>
  <c r="BJ105" s="1"/>
  <c r="BJ108" s="1"/>
  <c r="BJ107" s="1"/>
  <c r="BV44"/>
  <c r="CB44" s="1"/>
  <c r="H63" i="14"/>
  <c r="BL155" i="7"/>
  <c r="F63" i="14" s="1"/>
  <c r="O59" s="1"/>
  <c r="BJ152" i="7"/>
  <c r="BJ155" s="1"/>
  <c r="BJ154" s="1"/>
  <c r="AJ192"/>
  <c r="BM152" s="1"/>
  <c r="BM155" s="1"/>
  <c r="BM154" s="1"/>
  <c r="BK152"/>
  <c r="BX44"/>
  <c r="BX47" s="1"/>
  <c r="BX46" s="1"/>
  <c r="H50" i="14"/>
  <c r="BL108" i="7"/>
  <c r="F50" i="14" s="1"/>
  <c r="Q59" s="1"/>
  <c r="AJ98" i="7"/>
  <c r="BM58" s="1"/>
  <c r="BM61" s="1"/>
  <c r="BM60" s="1"/>
  <c r="BI58"/>
  <c r="BI61" s="1"/>
  <c r="BI60" s="1"/>
  <c r="BK58"/>
  <c r="H37" i="14"/>
  <c r="BY44" i="7"/>
  <c r="BY47" s="1"/>
  <c r="BY46" s="1"/>
  <c r="BL61"/>
  <c r="F37" i="14" s="1"/>
  <c r="R59" s="1"/>
  <c r="BW89" i="7"/>
  <c r="BL166"/>
  <c r="BK166" s="1"/>
  <c r="BW92"/>
  <c r="BL72"/>
  <c r="BK72" s="1"/>
  <c r="BW91"/>
  <c r="BL119"/>
  <c r="BK119" s="1"/>
  <c r="BK105"/>
  <c r="AJ145"/>
  <c r="BM105" s="1"/>
  <c r="BM108" s="1"/>
  <c r="BM107" s="1"/>
  <c r="BW44" l="1"/>
  <c r="BW47" s="1"/>
  <c r="BW46" s="1"/>
  <c r="CA44"/>
  <c r="AI56" i="14" s="1"/>
  <c r="BV47" i="7"/>
  <c r="CB47" s="1"/>
  <c r="BL107"/>
  <c r="BL154"/>
  <c r="BV67"/>
  <c r="CB67" s="1"/>
  <c r="D63" i="14"/>
  <c r="D130" s="1"/>
  <c r="BK155" i="7"/>
  <c r="B63" i="14" s="1"/>
  <c r="B130" s="1"/>
  <c r="BW90" i="7"/>
  <c r="P59" i="14"/>
  <c r="BX67" i="7"/>
  <c r="D50" i="14"/>
  <c r="D117" s="1"/>
  <c r="BK108" i="7"/>
  <c r="B50" i="14" s="1"/>
  <c r="B117" s="1"/>
  <c r="BL60" i="7"/>
  <c r="D37" i="14"/>
  <c r="D104" s="1"/>
  <c r="BY67" i="7"/>
  <c r="BY69" s="1"/>
  <c r="BK61"/>
  <c r="B37" i="14" s="1"/>
  <c r="B104" s="1"/>
  <c r="BK107" i="7" l="1"/>
  <c r="J50" i="14" s="1"/>
  <c r="BK154" i="7"/>
  <c r="J63" i="14" s="1"/>
  <c r="BK60" i="7"/>
  <c r="J37" i="14" s="1"/>
  <c r="BW67" i="7"/>
  <c r="BW69" s="1"/>
  <c r="BX69"/>
  <c r="BV46"/>
  <c r="CA47"/>
  <c r="AI59" i="14" s="1"/>
  <c r="CA67" i="7"/>
  <c r="BV69"/>
  <c r="CA46" l="1"/>
  <c r="AI58" i="14" s="1"/>
  <c r="CB46" i="7"/>
  <c r="CA69"/>
  <c r="CB69"/>
  <c r="N46" i="11" l="1"/>
  <c r="N187" i="12"/>
  <c r="N140" i="8"/>
  <c r="L140"/>
  <c r="N93"/>
  <c r="L93"/>
  <c r="N46"/>
  <c r="Q46" s="1"/>
  <c r="R46" s="1"/>
  <c r="L46"/>
  <c r="N140" i="12"/>
  <c r="N187" i="8"/>
  <c r="L187"/>
  <c r="I144" i="12" l="1"/>
  <c r="I97" i="8"/>
  <c r="N153"/>
  <c r="I191"/>
  <c r="N132"/>
  <c r="N38"/>
  <c r="N106" i="12"/>
  <c r="N12" i="11"/>
  <c r="I50"/>
  <c r="N153" i="12"/>
  <c r="BH30" i="8"/>
  <c r="BL30" s="1"/>
  <c r="BK30" s="1"/>
  <c r="N16"/>
  <c r="N110"/>
  <c r="N63"/>
  <c r="Q140"/>
  <c r="R140" s="1"/>
  <c r="N37"/>
  <c r="N38" i="11"/>
  <c r="N59" i="8"/>
  <c r="Q93"/>
  <c r="R93" s="1"/>
  <c r="N178" i="12"/>
  <c r="N132"/>
  <c r="N179" i="8"/>
  <c r="I144" i="11"/>
  <c r="N106" i="8"/>
  <c r="I97" i="11"/>
  <c r="N110" i="12"/>
  <c r="N157" i="8"/>
  <c r="N84"/>
  <c r="N131" i="12"/>
  <c r="Q187" i="8"/>
  <c r="R187" s="1"/>
  <c r="N179" i="12"/>
  <c r="N85" i="8"/>
  <c r="N12"/>
  <c r="I191" i="11"/>
  <c r="I50" i="8"/>
  <c r="N16" i="11"/>
  <c r="N157" i="12"/>
  <c r="I144" i="8"/>
  <c r="I191" i="12"/>
  <c r="N178" i="8"/>
  <c r="N37" i="11"/>
  <c r="N131" i="8"/>
  <c r="BH77" l="1"/>
  <c r="BL77" s="1"/>
  <c r="BK77" s="1"/>
  <c r="BH124"/>
  <c r="BL124" s="1"/>
  <c r="BK124" s="1"/>
  <c r="BH171"/>
  <c r="BL171" s="1"/>
  <c r="BK171" s="1"/>
  <c r="P46" i="11"/>
  <c r="P37" l="1"/>
  <c r="P178" i="12"/>
  <c r="P131"/>
  <c r="P140"/>
  <c r="P38" i="11"/>
  <c r="P132" i="12"/>
  <c r="P179"/>
  <c r="P16" i="11"/>
  <c r="P110" i="12"/>
  <c r="P157"/>
  <c r="P187"/>
  <c r="K144" i="11" l="1"/>
  <c r="K97"/>
  <c r="K191"/>
  <c r="P153" i="12" l="1"/>
  <c r="K191"/>
  <c r="P106"/>
  <c r="K144"/>
  <c r="P12" i="11"/>
  <c r="K50"/>
  <c r="P106" i="8" l="1"/>
  <c r="Q106" s="1"/>
  <c r="R106" s="1"/>
  <c r="L106"/>
  <c r="P59"/>
  <c r="Q59" s="1"/>
  <c r="R59" s="1"/>
  <c r="L59"/>
  <c r="P12"/>
  <c r="Q12" s="1"/>
  <c r="R12" s="1"/>
  <c r="L12"/>
  <c r="P153"/>
  <c r="Q153" s="1"/>
  <c r="R153" s="1"/>
  <c r="L153"/>
  <c r="BH11" i="7"/>
  <c r="P85" i="8" l="1"/>
  <c r="Q85" s="1"/>
  <c r="R85" s="1"/>
  <c r="L85"/>
  <c r="L69"/>
  <c r="AV168" i="10"/>
  <c r="BB168"/>
  <c r="BC168" s="1"/>
  <c r="AW168"/>
  <c r="AU168"/>
  <c r="AV182"/>
  <c r="AW182"/>
  <c r="BB182"/>
  <c r="BC182" s="1"/>
  <c r="AU182"/>
  <c r="L27" i="8"/>
  <c r="AR27" s="1"/>
  <c r="P63"/>
  <c r="Q63" s="1"/>
  <c r="R63" s="1"/>
  <c r="L63"/>
  <c r="L88"/>
  <c r="AR88" s="1"/>
  <c r="K97"/>
  <c r="P84"/>
  <c r="Q84" s="1"/>
  <c r="R84" s="1"/>
  <c r="L84"/>
  <c r="L116"/>
  <c r="L168"/>
  <c r="AR168" s="1"/>
  <c r="P157"/>
  <c r="Q157" s="1"/>
  <c r="R157" s="1"/>
  <c r="L157"/>
  <c r="BH117"/>
  <c r="BL117" s="1"/>
  <c r="BK117" s="1"/>
  <c r="P178"/>
  <c r="Q178" s="1"/>
  <c r="R178" s="1"/>
  <c r="L178"/>
  <c r="P132"/>
  <c r="Q132" s="1"/>
  <c r="R132" s="1"/>
  <c r="L132"/>
  <c r="L163"/>
  <c r="L121"/>
  <c r="AR121" s="1"/>
  <c r="P16"/>
  <c r="Q16" s="1"/>
  <c r="R16" s="1"/>
  <c r="L16"/>
  <c r="BH70"/>
  <c r="BL70" s="1"/>
  <c r="BK70" s="1"/>
  <c r="L135"/>
  <c r="AR135" s="1"/>
  <c r="K144"/>
  <c r="P131"/>
  <c r="Q131" s="1"/>
  <c r="R131" s="1"/>
  <c r="L131"/>
  <c r="D155" i="14"/>
  <c r="D192" s="1"/>
  <c r="BH14" i="7"/>
  <c r="BH13" s="1"/>
  <c r="N87" i="14"/>
  <c r="P179" i="8"/>
  <c r="Q179" s="1"/>
  <c r="R179" s="1"/>
  <c r="L179"/>
  <c r="BH23"/>
  <c r="BL23" s="1"/>
  <c r="BK23" s="1"/>
  <c r="L182"/>
  <c r="AR182" s="1"/>
  <c r="K191"/>
  <c r="N45" i="13"/>
  <c r="BH164" i="8"/>
  <c r="BL164" s="1"/>
  <c r="BK164" s="1"/>
  <c r="P38"/>
  <c r="Q38" s="1"/>
  <c r="R38" s="1"/>
  <c r="L38"/>
  <c r="L22"/>
  <c r="AT163" i="10"/>
  <c r="AT191" s="1"/>
  <c r="L74" i="8"/>
  <c r="AR74" s="1"/>
  <c r="P110"/>
  <c r="Q110" s="1"/>
  <c r="R110" s="1"/>
  <c r="L110"/>
  <c r="L41"/>
  <c r="AR41" s="1"/>
  <c r="K50"/>
  <c r="P37"/>
  <c r="Q37" s="1"/>
  <c r="R37" s="1"/>
  <c r="L37"/>
  <c r="BI11" i="7"/>
  <c r="BJ11"/>
  <c r="AR21" i="8" l="1"/>
  <c r="AR17"/>
  <c r="AR19"/>
  <c r="AR18"/>
  <c r="AR20"/>
  <c r="AR111"/>
  <c r="AR115"/>
  <c r="AR113"/>
  <c r="AR112"/>
  <c r="AR114"/>
  <c r="AR64"/>
  <c r="AR68"/>
  <c r="AR66"/>
  <c r="AR65"/>
  <c r="AR67"/>
  <c r="AR158"/>
  <c r="AR162"/>
  <c r="AR160"/>
  <c r="AR159"/>
  <c r="AR161"/>
  <c r="D156" i="14"/>
  <c r="D193" s="1"/>
  <c r="BI14" i="7"/>
  <c r="BI13" s="1"/>
  <c r="O87" i="14"/>
  <c r="N94"/>
  <c r="BH165" i="8"/>
  <c r="BL165" s="1"/>
  <c r="BK165" s="1"/>
  <c r="BH75"/>
  <c r="BL75" s="1"/>
  <c r="BK75" s="1"/>
  <c r="L106" i="11"/>
  <c r="Q106" s="1"/>
  <c r="R106" s="1"/>
  <c r="L153"/>
  <c r="Q153" s="1"/>
  <c r="R153" s="1"/>
  <c r="L59"/>
  <c r="Q59" s="1"/>
  <c r="R59" s="1"/>
  <c r="L50" i="8"/>
  <c r="BK17" i="7"/>
  <c r="L144" i="8"/>
  <c r="BH24"/>
  <c r="BL24" s="1"/>
  <c r="BK24" s="1"/>
  <c r="AW41" i="10"/>
  <c r="BB41"/>
  <c r="BC41" s="1"/>
  <c r="AU41"/>
  <c r="AV41"/>
  <c r="AT22"/>
  <c r="AT50" s="1"/>
  <c r="L187" i="11"/>
  <c r="O140" i="12"/>
  <c r="Q140" s="1"/>
  <c r="R140" s="1"/>
  <c r="L140"/>
  <c r="BH74" i="8"/>
  <c r="BL74" s="1"/>
  <c r="BK74" s="1"/>
  <c r="N182" i="10"/>
  <c r="AY182"/>
  <c r="N168"/>
  <c r="AY168"/>
  <c r="O182"/>
  <c r="AZ182"/>
  <c r="L84" i="11"/>
  <c r="Q84" s="1"/>
  <c r="R84" s="1"/>
  <c r="L178"/>
  <c r="Q178" s="1"/>
  <c r="R178" s="1"/>
  <c r="L131"/>
  <c r="Q131" s="1"/>
  <c r="R131" s="1"/>
  <c r="BH27" i="8"/>
  <c r="BL27" s="1"/>
  <c r="BK27" s="1"/>
  <c r="BH121"/>
  <c r="BL121" s="1"/>
  <c r="BK121" s="1"/>
  <c r="L140" i="11"/>
  <c r="L93"/>
  <c r="BH71" i="8"/>
  <c r="BL71" s="1"/>
  <c r="BK71" s="1"/>
  <c r="BJ170" i="10"/>
  <c r="P168"/>
  <c r="BA168"/>
  <c r="F192" i="14"/>
  <c r="F155"/>
  <c r="AU27" i="10"/>
  <c r="AW27"/>
  <c r="BB27"/>
  <c r="BC27" s="1"/>
  <c r="AV27"/>
  <c r="BH168" i="8"/>
  <c r="BL168" s="1"/>
  <c r="BK168" s="1"/>
  <c r="O187" i="12"/>
  <c r="Q187" s="1"/>
  <c r="R187" s="1"/>
  <c r="L187"/>
  <c r="L97" i="8"/>
  <c r="AZ168" i="10"/>
  <c r="O168"/>
  <c r="D157" i="14"/>
  <c r="D194" s="1"/>
  <c r="BJ14" i="7"/>
  <c r="BJ13" s="1"/>
  <c r="P87" i="14"/>
  <c r="L132" i="11"/>
  <c r="Q132" s="1"/>
  <c r="R132" s="1"/>
  <c r="L179"/>
  <c r="Q179" s="1"/>
  <c r="R179" s="1"/>
  <c r="L85"/>
  <c r="Q85" s="1"/>
  <c r="R85" s="1"/>
  <c r="BH118" i="8"/>
  <c r="BL118" s="1"/>
  <c r="BK118" s="1"/>
  <c r="AU163" i="10"/>
  <c r="AV163"/>
  <c r="BB163"/>
  <c r="BC163" s="1"/>
  <c r="AW163"/>
  <c r="BH28" i="8"/>
  <c r="BL28" s="1"/>
  <c r="BK28" s="1"/>
  <c r="L191"/>
  <c r="BH169"/>
  <c r="BL169" s="1"/>
  <c r="BK169" s="1"/>
  <c r="BH122"/>
  <c r="BL122" s="1"/>
  <c r="BK122" s="1"/>
  <c r="O46" i="11"/>
  <c r="Q46" s="1"/>
  <c r="R46" s="1"/>
  <c r="L46"/>
  <c r="BA182" i="10"/>
  <c r="P182"/>
  <c r="BJ167"/>
  <c r="J182" i="12" l="1"/>
  <c r="L182" s="1"/>
  <c r="AR182" s="1"/>
  <c r="J88" i="11"/>
  <c r="L88" s="1"/>
  <c r="AR88" s="1"/>
  <c r="BK16" i="7"/>
  <c r="AS114" i="8"/>
  <c r="AT114" s="1"/>
  <c r="J168" i="11"/>
  <c r="L168" s="1"/>
  <c r="AR168" s="1"/>
  <c r="J41"/>
  <c r="L41" s="1"/>
  <c r="AR41" s="1"/>
  <c r="J182"/>
  <c r="L182" s="1"/>
  <c r="AR182" s="1"/>
  <c r="J121"/>
  <c r="L121" s="1"/>
  <c r="AR121" s="1"/>
  <c r="J135" i="12"/>
  <c r="L135" s="1"/>
  <c r="AR135" s="1"/>
  <c r="AS161" i="8"/>
  <c r="AT161" s="1"/>
  <c r="AS160"/>
  <c r="AT160" s="1"/>
  <c r="AS21"/>
  <c r="AT21" s="1"/>
  <c r="J157" i="11"/>
  <c r="L157" s="1"/>
  <c r="Q157" s="1"/>
  <c r="R157" s="1"/>
  <c r="J16"/>
  <c r="O16" s="1"/>
  <c r="Q16" s="1"/>
  <c r="R16" s="1"/>
  <c r="AS65" i="8"/>
  <c r="AT65" s="1"/>
  <c r="AS68"/>
  <c r="AT68" s="1"/>
  <c r="BH169" i="11"/>
  <c r="BL169" s="1"/>
  <c r="BK169" s="1"/>
  <c r="AS135" i="8"/>
  <c r="AT135" s="1"/>
  <c r="O106" i="12"/>
  <c r="Q106" s="1"/>
  <c r="R106" s="1"/>
  <c r="L106"/>
  <c r="F193" i="14"/>
  <c r="F156"/>
  <c r="J135" i="11"/>
  <c r="AS121" i="8"/>
  <c r="AT121" s="1"/>
  <c r="P163" i="10"/>
  <c r="P191" s="1"/>
  <c r="BJ151" s="1"/>
  <c r="BA163"/>
  <c r="BA191" s="1"/>
  <c r="BJ153" s="1"/>
  <c r="O38" i="11"/>
  <c r="Q38" s="1"/>
  <c r="R38" s="1"/>
  <c r="L38"/>
  <c r="P94" i="14"/>
  <c r="AZ27" i="10"/>
  <c r="O27"/>
  <c r="D171" i="14"/>
  <c r="AS67" i="8"/>
  <c r="AT67" s="1"/>
  <c r="Q140" i="11"/>
  <c r="R140" s="1"/>
  <c r="J121" i="12"/>
  <c r="J168"/>
  <c r="BH74" i="11"/>
  <c r="BL74" s="1"/>
  <c r="BK74" s="1"/>
  <c r="AS115" i="8"/>
  <c r="AT115" s="1"/>
  <c r="J116" i="11"/>
  <c r="L116" s="1"/>
  <c r="J163" i="12"/>
  <c r="AY41" i="10"/>
  <c r="N41"/>
  <c r="AS159" i="8"/>
  <c r="AT159" s="1"/>
  <c r="AS18"/>
  <c r="AT18" s="1"/>
  <c r="AS41"/>
  <c r="AT41" s="1"/>
  <c r="O153" i="12"/>
  <c r="Q153" s="1"/>
  <c r="R153" s="1"/>
  <c r="L153"/>
  <c r="J63" i="11"/>
  <c r="L63" s="1"/>
  <c r="Q63" s="1"/>
  <c r="R63" s="1"/>
  <c r="J157" i="12"/>
  <c r="AY163" i="10"/>
  <c r="AY191" s="1"/>
  <c r="N163"/>
  <c r="N191" s="1"/>
  <c r="J22" i="11"/>
  <c r="BH30"/>
  <c r="BL30" s="1"/>
  <c r="BK30" s="1"/>
  <c r="AS182" i="8"/>
  <c r="AT182" s="1"/>
  <c r="BB191" i="10"/>
  <c r="BJ166"/>
  <c r="BX89" s="1"/>
  <c r="BX90" s="1"/>
  <c r="BC191"/>
  <c r="O132" i="12"/>
  <c r="Q132" s="1"/>
  <c r="R132" s="1"/>
  <c r="L132"/>
  <c r="BH171"/>
  <c r="BL171" s="1"/>
  <c r="BK171" s="1"/>
  <c r="BJ26" i="10"/>
  <c r="AS64" i="8"/>
  <c r="AT64" s="1"/>
  <c r="AR97"/>
  <c r="J27" i="11"/>
  <c r="O131" i="12"/>
  <c r="Q131" s="1"/>
  <c r="R131" s="1"/>
  <c r="L131"/>
  <c r="O178"/>
  <c r="Q178" s="1"/>
  <c r="R178" s="1"/>
  <c r="L178"/>
  <c r="AS113" i="8"/>
  <c r="AT113" s="1"/>
  <c r="AS112"/>
  <c r="AT112" s="1"/>
  <c r="J69" i="11"/>
  <c r="L69" s="1"/>
  <c r="J163"/>
  <c r="L163" s="1"/>
  <c r="Q182" i="10"/>
  <c r="R182" s="1"/>
  <c r="BJ29"/>
  <c r="AS162" i="8"/>
  <c r="AT162" s="1"/>
  <c r="AS19"/>
  <c r="AT19" s="1"/>
  <c r="AR50"/>
  <c r="AS17"/>
  <c r="AT17" s="1"/>
  <c r="O12" i="11"/>
  <c r="Q12" s="1"/>
  <c r="R12" s="1"/>
  <c r="L12"/>
  <c r="BH164"/>
  <c r="BL164" s="1"/>
  <c r="BK164" s="1"/>
  <c r="AS27" i="8"/>
  <c r="AT27" s="1"/>
  <c r="J110" i="11"/>
  <c r="L110" s="1"/>
  <c r="Q110" s="1"/>
  <c r="R110" s="1"/>
  <c r="O94" i="14"/>
  <c r="BH122" i="11"/>
  <c r="BL122" s="1"/>
  <c r="BK122" s="1"/>
  <c r="N27" i="10"/>
  <c r="AY27"/>
  <c r="BH168" i="11"/>
  <c r="BL168" s="1"/>
  <c r="BK168" s="1"/>
  <c r="Q168" i="10"/>
  <c r="R168" s="1"/>
  <c r="Q187" i="11"/>
  <c r="R187" s="1"/>
  <c r="O41" i="10"/>
  <c r="AZ41"/>
  <c r="O163"/>
  <c r="O191" s="1"/>
  <c r="BI151" s="1"/>
  <c r="AZ163"/>
  <c r="AZ191" s="1"/>
  <c r="BI153" s="1"/>
  <c r="BH75" i="11"/>
  <c r="BL75" s="1"/>
  <c r="BK75" s="1"/>
  <c r="O179" i="12"/>
  <c r="Q179" s="1"/>
  <c r="R179" s="1"/>
  <c r="L179"/>
  <c r="F157" i="14"/>
  <c r="F194"/>
  <c r="AS88" i="8"/>
  <c r="AT88" s="1"/>
  <c r="BA27" i="10"/>
  <c r="P27"/>
  <c r="AS66" i="8"/>
  <c r="AT66" s="1"/>
  <c r="Q93" i="11"/>
  <c r="R93" s="1"/>
  <c r="AS168" i="8"/>
  <c r="AT168" s="1"/>
  <c r="J74" i="11"/>
  <c r="L74" s="1"/>
  <c r="AR74" s="1"/>
  <c r="BH121"/>
  <c r="BL121" s="1"/>
  <c r="BK121" s="1"/>
  <c r="O37"/>
  <c r="Q37" s="1"/>
  <c r="R37" s="1"/>
  <c r="L37"/>
  <c r="AR144" i="8"/>
  <c r="AS111"/>
  <c r="AT111" s="1"/>
  <c r="J116" i="12"/>
  <c r="BH124"/>
  <c r="BL124" s="1"/>
  <c r="BK124" s="1"/>
  <c r="AU22" i="10"/>
  <c r="AW22"/>
  <c r="AV22"/>
  <c r="BB22"/>
  <c r="BC22" s="1"/>
  <c r="P41"/>
  <c r="BA41"/>
  <c r="AR191" i="8"/>
  <c r="AS158"/>
  <c r="AT158" s="1"/>
  <c r="AS20"/>
  <c r="AT20" s="1"/>
  <c r="AS74"/>
  <c r="AT74" s="1"/>
  <c r="BH70" i="11"/>
  <c r="BL70" s="1"/>
  <c r="BK70" s="1"/>
  <c r="BH117"/>
  <c r="BL117" s="1"/>
  <c r="BK117" s="1"/>
  <c r="Q87" i="14"/>
  <c r="J110" i="12"/>
  <c r="AR162" i="11" l="1"/>
  <c r="AR161"/>
  <c r="AR158"/>
  <c r="AR160"/>
  <c r="AR159"/>
  <c r="AR68"/>
  <c r="AR67"/>
  <c r="AR64"/>
  <c r="AR66"/>
  <c r="AR65"/>
  <c r="AR113"/>
  <c r="AR112"/>
  <c r="AR115"/>
  <c r="AR114"/>
  <c r="AR111"/>
  <c r="BH153" i="10"/>
  <c r="L16" i="11"/>
  <c r="Q182"/>
  <c r="R182" s="1"/>
  <c r="Q88"/>
  <c r="R88" s="1"/>
  <c r="L97"/>
  <c r="BH165"/>
  <c r="BL165" s="1"/>
  <c r="BK165" s="1"/>
  <c r="L191"/>
  <c r="BH151" i="10"/>
  <c r="L116" i="12"/>
  <c r="BH27" i="11"/>
  <c r="BL27" s="1"/>
  <c r="BK27" s="1"/>
  <c r="BH167" i="10"/>
  <c r="BL167" s="1"/>
  <c r="BK167" s="1"/>
  <c r="L22" i="11"/>
  <c r="BH164" i="12"/>
  <c r="L168"/>
  <c r="AR168" s="1"/>
  <c r="AV135" i="8"/>
  <c r="AU135"/>
  <c r="AW135"/>
  <c r="J191" i="12"/>
  <c r="O110"/>
  <c r="Q110" s="1"/>
  <c r="R110" s="1"/>
  <c r="L110"/>
  <c r="AS191" i="8"/>
  <c r="AT163"/>
  <c r="BB50" i="10"/>
  <c r="BJ25"/>
  <c r="BX93" s="1"/>
  <c r="BC50"/>
  <c r="AS144" i="8"/>
  <c r="O37" i="13"/>
  <c r="O12"/>
  <c r="O38"/>
  <c r="BI155" i="10"/>
  <c r="BI154" s="1"/>
  <c r="AS50" i="8"/>
  <c r="L27" i="11"/>
  <c r="AR27" s="1"/>
  <c r="BB192" i="10"/>
  <c r="BM153" s="1"/>
  <c r="BK153"/>
  <c r="O157" i="12"/>
  <c r="Q157" s="1"/>
  <c r="R157" s="1"/>
  <c r="L157"/>
  <c r="AU41" i="8"/>
  <c r="AW41"/>
  <c r="AV41"/>
  <c r="L121" i="12"/>
  <c r="AR121" s="1"/>
  <c r="BJ155" i="10"/>
  <c r="BJ154" s="1"/>
  <c r="J97" i="11"/>
  <c r="AY22" i="10"/>
  <c r="AY50" s="1"/>
  <c r="BH12" s="1"/>
  <c r="E140" i="14" s="1"/>
  <c r="N22" i="10"/>
  <c r="BH23" i="11"/>
  <c r="BH170" i="10"/>
  <c r="BL170" s="1"/>
  <c r="BK170" s="1"/>
  <c r="O22"/>
  <c r="O50" s="1"/>
  <c r="BI10" s="1"/>
  <c r="AZ22"/>
  <c r="AZ50" s="1"/>
  <c r="BI12" s="1"/>
  <c r="E141" i="14" s="1"/>
  <c r="BH77" i="11"/>
  <c r="BL77" s="1"/>
  <c r="BK77" s="1"/>
  <c r="AU88" i="8"/>
  <c r="AW88"/>
  <c r="AV88"/>
  <c r="BH169" i="12"/>
  <c r="P37" i="13"/>
  <c r="P38"/>
  <c r="P16"/>
  <c r="P46"/>
  <c r="P12"/>
  <c r="Q27" i="10"/>
  <c r="R27" s="1"/>
  <c r="BH168" i="12"/>
  <c r="BL168" s="1"/>
  <c r="BK168" s="1"/>
  <c r="BH122"/>
  <c r="AW182" i="8"/>
  <c r="AU182"/>
  <c r="AV182"/>
  <c r="BH71" i="11"/>
  <c r="BL71" s="1"/>
  <c r="BK71" s="1"/>
  <c r="J191"/>
  <c r="AV121" i="8"/>
  <c r="AW121"/>
  <c r="AU121"/>
  <c r="J144" i="12"/>
  <c r="AU168" i="8"/>
  <c r="AV168"/>
  <c r="AW168"/>
  <c r="AV27"/>
  <c r="AU27"/>
  <c r="AW27"/>
  <c r="BH121" i="12"/>
  <c r="BL121" s="1"/>
  <c r="BK121" s="1"/>
  <c r="Q41" i="10"/>
  <c r="R41" s="1"/>
  <c r="Q94" i="14"/>
  <c r="AW74" i="8"/>
  <c r="AV74"/>
  <c r="AU74"/>
  <c r="BA22" i="10"/>
  <c r="BA50" s="1"/>
  <c r="BJ12" s="1"/>
  <c r="E142" i="14" s="1"/>
  <c r="P22" i="10"/>
  <c r="P50" s="1"/>
  <c r="BJ10" s="1"/>
  <c r="BH24" i="11"/>
  <c r="BL24" s="1"/>
  <c r="BK24" s="1"/>
  <c r="BH171"/>
  <c r="BL171" s="1"/>
  <c r="BK171" s="1"/>
  <c r="BH118"/>
  <c r="BL118" s="1"/>
  <c r="BK118" s="1"/>
  <c r="AS97" i="8"/>
  <c r="BL153" i="10"/>
  <c r="BC192"/>
  <c r="BN153" s="1"/>
  <c r="Q163"/>
  <c r="R163" s="1"/>
  <c r="L163" i="12"/>
  <c r="BH124" i="11"/>
  <c r="BL124" s="1"/>
  <c r="BK124" s="1"/>
  <c r="BH28"/>
  <c r="BL28" s="1"/>
  <c r="BK28" s="1"/>
  <c r="L135"/>
  <c r="AR135" s="1"/>
  <c r="J144"/>
  <c r="BH117" i="12"/>
  <c r="J50" i="11"/>
  <c r="AJ121" i="12"/>
  <c r="AK121" s="1"/>
  <c r="AR17" i="11" l="1"/>
  <c r="AR20"/>
  <c r="AR18"/>
  <c r="AR21"/>
  <c r="AR19"/>
  <c r="BH76"/>
  <c r="AR159" i="12"/>
  <c r="AR158"/>
  <c r="AR162"/>
  <c r="AR161"/>
  <c r="AR160"/>
  <c r="AR115"/>
  <c r="AR114"/>
  <c r="AR113"/>
  <c r="AR112"/>
  <c r="AR111"/>
  <c r="BH155" i="10"/>
  <c r="BH154" s="1"/>
  <c r="BH170" i="11"/>
  <c r="L191" i="12"/>
  <c r="AS67" i="11"/>
  <c r="AT67" s="1"/>
  <c r="L144" i="12"/>
  <c r="AT69" i="8"/>
  <c r="AW69" s="1"/>
  <c r="AS74" i="11"/>
  <c r="AS88"/>
  <c r="J41" i="13"/>
  <c r="L41" s="1"/>
  <c r="AR41" s="1"/>
  <c r="AS159" i="11"/>
  <c r="AT159" s="1"/>
  <c r="N38" i="13"/>
  <c r="Q38" s="1"/>
  <c r="R38" s="1"/>
  <c r="L38"/>
  <c r="BH29" i="10"/>
  <c r="BL29" s="1"/>
  <c r="BK29" s="1"/>
  <c r="BA121" i="8"/>
  <c r="P121"/>
  <c r="BA88"/>
  <c r="P88"/>
  <c r="BA41"/>
  <c r="P41"/>
  <c r="AS182" i="11"/>
  <c r="AT182" s="1"/>
  <c r="AT22" i="8"/>
  <c r="AT50" s="1"/>
  <c r="AJ110" i="12"/>
  <c r="AK110" s="1"/>
  <c r="AJ157"/>
  <c r="AK157" s="1"/>
  <c r="N37" i="13"/>
  <c r="Q37" s="1"/>
  <c r="R37" s="1"/>
  <c r="L37"/>
  <c r="N46"/>
  <c r="L46"/>
  <c r="C142" i="14"/>
  <c r="BJ14" i="10"/>
  <c r="BJ13" s="1"/>
  <c r="BA74" i="8"/>
  <c r="P74"/>
  <c r="AZ27"/>
  <c r="O27"/>
  <c r="AZ121"/>
  <c r="O121"/>
  <c r="AS68" i="11"/>
  <c r="AT68" s="1"/>
  <c r="N88" i="8"/>
  <c r="AY88"/>
  <c r="BL23" i="11"/>
  <c r="BK23" s="1"/>
  <c r="AY41" i="8"/>
  <c r="N41"/>
  <c r="BV68" i="10"/>
  <c r="BW68" s="1"/>
  <c r="E59" i="14"/>
  <c r="E126" s="1"/>
  <c r="AS158" i="11"/>
  <c r="AT158" s="1"/>
  <c r="AR191"/>
  <c r="J22" i="13"/>
  <c r="L22" s="1"/>
  <c r="J27"/>
  <c r="AT116" i="8"/>
  <c r="AT144" s="1"/>
  <c r="AT191"/>
  <c r="AV163"/>
  <c r="AW163"/>
  <c r="AU163"/>
  <c r="BH118" i="12"/>
  <c r="BA135" i="8"/>
  <c r="P135"/>
  <c r="AZ74"/>
  <c r="O74"/>
  <c r="N168"/>
  <c r="AY168"/>
  <c r="BA182"/>
  <c r="P182"/>
  <c r="BH26" i="10"/>
  <c r="BL26" s="1"/>
  <c r="BK26" s="1"/>
  <c r="N50"/>
  <c r="BH10" s="1"/>
  <c r="Q22"/>
  <c r="BI120" i="12"/>
  <c r="L50" i="11"/>
  <c r="N12" i="13"/>
  <c r="Q12" s="1"/>
  <c r="R12" s="1"/>
  <c r="L12"/>
  <c r="N16"/>
  <c r="BA168" i="8"/>
  <c r="P168"/>
  <c r="O182"/>
  <c r="AZ182"/>
  <c r="AS64" i="11"/>
  <c r="AT64" s="1"/>
  <c r="AR97"/>
  <c r="AS65"/>
  <c r="AT65" s="1"/>
  <c r="C141" i="14"/>
  <c r="BI14" i="10"/>
  <c r="BI13" s="1"/>
  <c r="AS162" i="11"/>
  <c r="AT162" s="1"/>
  <c r="AS161"/>
  <c r="AT161" s="1"/>
  <c r="J16" i="13"/>
  <c r="O16" s="1"/>
  <c r="BC51" i="10"/>
  <c r="BN12" s="1"/>
  <c r="BL12"/>
  <c r="N135" i="8"/>
  <c r="AY135"/>
  <c r="AY27"/>
  <c r="N27"/>
  <c r="AS66" i="11"/>
  <c r="AT66" s="1"/>
  <c r="BK12" i="10"/>
  <c r="BB51"/>
  <c r="BM12" s="1"/>
  <c r="AS115" i="11"/>
  <c r="AT115" s="1"/>
  <c r="Q135"/>
  <c r="R135" s="1"/>
  <c r="L144"/>
  <c r="I59" i="14"/>
  <c r="BV45" i="10"/>
  <c r="BW45" s="1"/>
  <c r="AJ132" i="12"/>
  <c r="AK132" s="1"/>
  <c r="AJ179"/>
  <c r="AK179" s="1"/>
  <c r="Q191" i="10"/>
  <c r="R191"/>
  <c r="R192" s="1"/>
  <c r="BH166"/>
  <c r="N74" i="8"/>
  <c r="AY74"/>
  <c r="BA27"/>
  <c r="P27"/>
  <c r="O168"/>
  <c r="AZ168"/>
  <c r="AY121"/>
  <c r="N121"/>
  <c r="N182"/>
  <c r="AY182"/>
  <c r="O88"/>
  <c r="AZ88"/>
  <c r="AS168" i="11"/>
  <c r="AT168" s="1"/>
  <c r="O41" i="8"/>
  <c r="AZ41"/>
  <c r="BH165" i="12"/>
  <c r="AS160" i="11"/>
  <c r="AT160" s="1"/>
  <c r="O46" i="13"/>
  <c r="O135" i="8"/>
  <c r="AZ135"/>
  <c r="AT74" i="11" l="1"/>
  <c r="AU74" s="1"/>
  <c r="AY74" s="1"/>
  <c r="AT88"/>
  <c r="AV88" s="1"/>
  <c r="AZ88" s="1"/>
  <c r="AR18" i="13"/>
  <c r="AR19"/>
  <c r="AR21"/>
  <c r="AR20"/>
  <c r="AR17"/>
  <c r="Q50" i="10"/>
  <c r="BK10" s="1"/>
  <c r="R22"/>
  <c r="BB74" i="8"/>
  <c r="AV74" i="11"/>
  <c r="AZ74" s="1"/>
  <c r="AU69" i="8"/>
  <c r="N69" s="1"/>
  <c r="BB121"/>
  <c r="AU88" i="11"/>
  <c r="AY88" s="1"/>
  <c r="Q74" i="8"/>
  <c r="AS21" i="11"/>
  <c r="AT21" s="1"/>
  <c r="Q41" i="8"/>
  <c r="AV69"/>
  <c r="AZ69" s="1"/>
  <c r="AZ97" s="1"/>
  <c r="BI59" s="1"/>
  <c r="E152" i="14" s="1"/>
  <c r="E189" s="1"/>
  <c r="AT97" i="8"/>
  <c r="AS114" i="12"/>
  <c r="AT114" s="1"/>
  <c r="AR144" i="11"/>
  <c r="AS111"/>
  <c r="AT111" s="1"/>
  <c r="AS121" i="12"/>
  <c r="AS113" i="11"/>
  <c r="AT113" s="1"/>
  <c r="L16" i="13"/>
  <c r="J50"/>
  <c r="AS168" i="12"/>
  <c r="AD163"/>
  <c r="AJ163" s="1"/>
  <c r="AD153"/>
  <c r="AJ153" s="1"/>
  <c r="AK153" s="1"/>
  <c r="Q182" i="8"/>
  <c r="R182" s="1"/>
  <c r="AT163" i="11"/>
  <c r="AS191"/>
  <c r="AS160" i="12"/>
  <c r="AT160" s="1"/>
  <c r="BI118"/>
  <c r="BL118" s="1"/>
  <c r="BK118" s="1"/>
  <c r="AS112"/>
  <c r="AT112" s="1"/>
  <c r="AS20" i="11"/>
  <c r="AT20" s="1"/>
  <c r="Q121" i="8"/>
  <c r="R121" s="1"/>
  <c r="AS112" i="11"/>
  <c r="AT112" s="1"/>
  <c r="AS135"/>
  <c r="AT135" s="1"/>
  <c r="E87" i="14"/>
  <c r="E7"/>
  <c r="Q27" i="8"/>
  <c r="R27" s="1"/>
  <c r="AS114" i="11"/>
  <c r="AT114" s="1"/>
  <c r="I87" i="14"/>
  <c r="I7"/>
  <c r="Q16" i="13"/>
  <c r="R16" s="1"/>
  <c r="C140" i="14"/>
  <c r="BH14" i="10"/>
  <c r="BB41" i="8"/>
  <c r="BC41" s="1"/>
  <c r="BB88"/>
  <c r="BC88" s="1"/>
  <c r="Q46" i="13"/>
  <c r="R46" s="1"/>
  <c r="AS161" i="12"/>
  <c r="AT161" s="1"/>
  <c r="AD106"/>
  <c r="I20" i="14"/>
  <c r="BZ45" i="10"/>
  <c r="O163" i="8"/>
  <c r="O191" s="1"/>
  <c r="BI151" s="1"/>
  <c r="AZ163"/>
  <c r="AZ191" s="1"/>
  <c r="BI153" s="1"/>
  <c r="AR191" i="12"/>
  <c r="AS158"/>
  <c r="AT158" s="1"/>
  <c r="AS182"/>
  <c r="AT182" s="1"/>
  <c r="AS115"/>
  <c r="AT115" s="1"/>
  <c r="AS111"/>
  <c r="AT111" s="1"/>
  <c r="AR144"/>
  <c r="AS135"/>
  <c r="AT135" s="1"/>
  <c r="AR50" i="11"/>
  <c r="AS17"/>
  <c r="AT17" s="1"/>
  <c r="AS41"/>
  <c r="AT41" s="1"/>
  <c r="BV89" i="10"/>
  <c r="BV90" s="1"/>
  <c r="BL166"/>
  <c r="BK166" s="1"/>
  <c r="BI169" i="12"/>
  <c r="BL169" s="1"/>
  <c r="BK169" s="1"/>
  <c r="BZ68" i="10"/>
  <c r="E20" i="14"/>
  <c r="BB27" i="8"/>
  <c r="BC27" s="1"/>
  <c r="BB135"/>
  <c r="BC135" s="1"/>
  <c r="BB168"/>
  <c r="BC168" s="1"/>
  <c r="AY163"/>
  <c r="N163"/>
  <c r="N191" s="1"/>
  <c r="BH151" s="1"/>
  <c r="Q88"/>
  <c r="R88" s="1"/>
  <c r="AS159" i="12"/>
  <c r="AT159" s="1"/>
  <c r="AW22" i="8"/>
  <c r="AU22"/>
  <c r="AV22"/>
  <c r="BH28" i="13"/>
  <c r="AS121" i="11"/>
  <c r="AT121" s="1"/>
  <c r="BB168"/>
  <c r="BC168" s="1"/>
  <c r="AU168"/>
  <c r="AY168" s="1"/>
  <c r="AW168"/>
  <c r="BA168" s="1"/>
  <c r="AV168"/>
  <c r="AZ168" s="1"/>
  <c r="Q168"/>
  <c r="R168" s="1"/>
  <c r="BK151" i="10"/>
  <c r="Q192"/>
  <c r="BM151" s="1"/>
  <c r="BM155" s="1"/>
  <c r="BM154" s="1"/>
  <c r="BH123" i="11"/>
  <c r="R50" i="10"/>
  <c r="R51" s="1"/>
  <c r="BH25"/>
  <c r="L27" i="13"/>
  <c r="AR27" s="1"/>
  <c r="AS113" i="12"/>
  <c r="AT113" s="1"/>
  <c r="AS18" i="11"/>
  <c r="AT18" s="1"/>
  <c r="AS19"/>
  <c r="AT19" s="1"/>
  <c r="BB182" i="8"/>
  <c r="BC182" s="1"/>
  <c r="BL151" i="10"/>
  <c r="BN151"/>
  <c r="BN155" s="1"/>
  <c r="BN154" s="1"/>
  <c r="BI122" i="12"/>
  <c r="BL122" s="1"/>
  <c r="BK122" s="1"/>
  <c r="AD116"/>
  <c r="AJ116" s="1"/>
  <c r="AK116" s="1"/>
  <c r="Q135" i="8"/>
  <c r="R135" s="1"/>
  <c r="AT69" i="11"/>
  <c r="AS97"/>
  <c r="BH23" i="13"/>
  <c r="AS27" i="11"/>
  <c r="AT27" s="1"/>
  <c r="Q168" i="8"/>
  <c r="R168" s="1"/>
  <c r="BA163"/>
  <c r="BA191" s="1"/>
  <c r="BJ153" s="1"/>
  <c r="P163"/>
  <c r="P191" s="1"/>
  <c r="BJ151" s="1"/>
  <c r="AW116"/>
  <c r="AU116"/>
  <c r="AV116"/>
  <c r="BH27" i="13"/>
  <c r="AS162" i="12"/>
  <c r="AT162" s="1"/>
  <c r="BI165"/>
  <c r="BL165" s="1"/>
  <c r="BK165" s="1"/>
  <c r="BB182" i="11"/>
  <c r="BC182" s="1"/>
  <c r="AW182"/>
  <c r="BA182" s="1"/>
  <c r="AU182"/>
  <c r="AY182" s="1"/>
  <c r="AV182"/>
  <c r="AZ182" s="1"/>
  <c r="BA69" i="8"/>
  <c r="BA97" s="1"/>
  <c r="BJ59" s="1"/>
  <c r="E153" i="14" s="1"/>
  <c r="E190" s="1"/>
  <c r="P69" i="8"/>
  <c r="P97" s="1"/>
  <c r="BJ57" s="1"/>
  <c r="Q51" i="10" l="1"/>
  <c r="BM10" s="1"/>
  <c r="AW88" i="11"/>
  <c r="BA88" s="1"/>
  <c r="AW74"/>
  <c r="BA74" s="1"/>
  <c r="BB74"/>
  <c r="BC74" s="1"/>
  <c r="Q74"/>
  <c r="BB88"/>
  <c r="BJ73" i="8"/>
  <c r="BC74"/>
  <c r="BH73"/>
  <c r="R74"/>
  <c r="BH29"/>
  <c r="R41"/>
  <c r="BJ120"/>
  <c r="BC121"/>
  <c r="BI166" i="12"/>
  <c r="BW89" s="1"/>
  <c r="AK163"/>
  <c r="AT121"/>
  <c r="AW121" s="1"/>
  <c r="BA121" s="1"/>
  <c r="AT168"/>
  <c r="BB168" s="1"/>
  <c r="BC168" s="1"/>
  <c r="AY69" i="8"/>
  <c r="BB69" s="1"/>
  <c r="BC69" s="1"/>
  <c r="CA45" i="10"/>
  <c r="AF57" i="14" s="1"/>
  <c r="CB45" i="10"/>
  <c r="CA68"/>
  <c r="CB68"/>
  <c r="BI155" i="8"/>
  <c r="BI154" s="1"/>
  <c r="L50" i="13"/>
  <c r="O69" i="8"/>
  <c r="O97" s="1"/>
  <c r="BI57" s="1"/>
  <c r="BI61" s="1"/>
  <c r="BI60" s="1"/>
  <c r="AS41" i="13"/>
  <c r="BB121" i="12"/>
  <c r="AS19" i="13"/>
  <c r="AT19" s="1"/>
  <c r="Q69" i="8"/>
  <c r="AD191" i="12"/>
  <c r="AV27" i="11"/>
  <c r="BB27"/>
  <c r="AW27"/>
  <c r="AU27"/>
  <c r="AW121"/>
  <c r="BA121" s="1"/>
  <c r="AU121"/>
  <c r="AY121" s="1"/>
  <c r="BB121"/>
  <c r="BC121" s="1"/>
  <c r="AV121"/>
  <c r="AZ121" s="1"/>
  <c r="Q121"/>
  <c r="R121" s="1"/>
  <c r="BH76" i="8"/>
  <c r="BJ76"/>
  <c r="BJ61"/>
  <c r="BJ60" s="1"/>
  <c r="C153" i="14"/>
  <c r="C190" s="1"/>
  <c r="BJ170" i="11"/>
  <c r="BL170" s="1"/>
  <c r="BK170" s="1"/>
  <c r="N77" i="14"/>
  <c r="BL27" i="13"/>
  <c r="BK27" s="1"/>
  <c r="BA116" i="8"/>
  <c r="BA144" s="1"/>
  <c r="BJ106" s="1"/>
  <c r="P116"/>
  <c r="P144" s="1"/>
  <c r="BJ104" s="1"/>
  <c r="BH167"/>
  <c r="BI119" i="12"/>
  <c r="BW90" s="1"/>
  <c r="BV43" i="10"/>
  <c r="BL155"/>
  <c r="G59" i="14"/>
  <c r="BJ170" i="8"/>
  <c r="BN10" i="10"/>
  <c r="BL10"/>
  <c r="AZ22" i="8"/>
  <c r="AZ50" s="1"/>
  <c r="BI12" s="1"/>
  <c r="O22"/>
  <c r="O50" s="1"/>
  <c r="BI10" s="1"/>
  <c r="N97"/>
  <c r="BH57" s="1"/>
  <c r="BJ167"/>
  <c r="AL6" i="14"/>
  <c r="E74"/>
  <c r="AU135" i="12"/>
  <c r="AW135"/>
  <c r="AV135"/>
  <c r="BB135"/>
  <c r="BC135" s="1"/>
  <c r="BI164"/>
  <c r="BL164" s="1"/>
  <c r="BK164" s="1"/>
  <c r="BH30" i="13"/>
  <c r="BH24"/>
  <c r="AS18"/>
  <c r="AT18" s="1"/>
  <c r="AT116" i="11"/>
  <c r="BV66" i="10"/>
  <c r="C59" i="14"/>
  <c r="C126" s="1"/>
  <c r="BK155" i="10"/>
  <c r="AY22" i="8"/>
  <c r="N22"/>
  <c r="BJ123"/>
  <c r="AW41" i="11"/>
  <c r="AU41"/>
  <c r="AV41"/>
  <c r="BB41"/>
  <c r="BC41" s="1"/>
  <c r="BJ155" i="8"/>
  <c r="BJ154" s="1"/>
  <c r="AS21" i="13"/>
  <c r="AT21" s="1"/>
  <c r="BH120" i="8"/>
  <c r="BL120" s="1"/>
  <c r="BK120" s="1"/>
  <c r="AT191" i="11"/>
  <c r="AU163"/>
  <c r="AY163" s="1"/>
  <c r="AY191" s="1"/>
  <c r="BH153" s="1"/>
  <c r="BH155" s="1"/>
  <c r="BH154" s="1"/>
  <c r="AW163"/>
  <c r="BA163" s="1"/>
  <c r="BA191" s="1"/>
  <c r="BJ153" s="1"/>
  <c r="BJ155" s="1"/>
  <c r="BJ154" s="1"/>
  <c r="BB163"/>
  <c r="AV163"/>
  <c r="AZ163" s="1"/>
  <c r="AZ191" s="1"/>
  <c r="BI153" s="1"/>
  <c r="BI155" s="1"/>
  <c r="BI154" s="1"/>
  <c r="Q163"/>
  <c r="BH170" i="8"/>
  <c r="AZ116"/>
  <c r="AZ144" s="1"/>
  <c r="BI106" s="1"/>
  <c r="O116"/>
  <c r="O144" s="1"/>
  <c r="BI104" s="1"/>
  <c r="AS27" i="13"/>
  <c r="AT27" s="1"/>
  <c r="BH167" i="11"/>
  <c r="BJ167"/>
  <c r="N78" i="14"/>
  <c r="BL28" i="13"/>
  <c r="BK28" s="1"/>
  <c r="BA22" i="8"/>
  <c r="BA50" s="1"/>
  <c r="BJ12" s="1"/>
  <c r="P22"/>
  <c r="P50" s="1"/>
  <c r="BJ10" s="1"/>
  <c r="Q163"/>
  <c r="BJ26"/>
  <c r="AJ191" i="12"/>
  <c r="AS50" i="11"/>
  <c r="AS144" i="12"/>
  <c r="AT116"/>
  <c r="AW182"/>
  <c r="BB182"/>
  <c r="BC182" s="1"/>
  <c r="AV182"/>
  <c r="AU182"/>
  <c r="BJ29" i="8"/>
  <c r="BH13" i="10"/>
  <c r="AS20" i="13"/>
  <c r="AT20" s="1"/>
  <c r="C7" i="14"/>
  <c r="C87"/>
  <c r="BM14" i="10"/>
  <c r="AT97" i="11"/>
  <c r="AU69"/>
  <c r="AY69" s="1"/>
  <c r="AY97" s="1"/>
  <c r="BH59" s="1"/>
  <c r="BH61" s="1"/>
  <c r="BH60" s="1"/>
  <c r="AV69"/>
  <c r="AZ69" s="1"/>
  <c r="AZ97" s="1"/>
  <c r="BI59" s="1"/>
  <c r="BI61" s="1"/>
  <c r="BI60" s="1"/>
  <c r="AW69"/>
  <c r="BA69" s="1"/>
  <c r="BB69"/>
  <c r="BC69" s="1"/>
  <c r="Q69"/>
  <c r="R69" s="1"/>
  <c r="AY116" i="8"/>
  <c r="N116"/>
  <c r="BL23" i="13"/>
  <c r="BK23" s="1"/>
  <c r="N73" i="14"/>
  <c r="BH123" i="8"/>
  <c r="BV93" i="10"/>
  <c r="BL25"/>
  <c r="BK25" s="1"/>
  <c r="AY191" i="8"/>
  <c r="BH153" s="1"/>
  <c r="BH155" s="1"/>
  <c r="BH154" s="1"/>
  <c r="BB163"/>
  <c r="BC163" s="1"/>
  <c r="AT163" i="12"/>
  <c r="AS191"/>
  <c r="AJ106"/>
  <c r="AK106" s="1"/>
  <c r="AD144"/>
  <c r="BH26" i="8"/>
  <c r="AU135" i="11"/>
  <c r="AY135" s="1"/>
  <c r="BB135"/>
  <c r="BC135" s="1"/>
  <c r="AW135"/>
  <c r="BA135" s="1"/>
  <c r="AV135"/>
  <c r="AZ135" s="1"/>
  <c r="AR50" i="13"/>
  <c r="AS17"/>
  <c r="AT17" s="1"/>
  <c r="AS144" i="11"/>
  <c r="BZ66" i="10"/>
  <c r="C20" i="14"/>
  <c r="BK14" i="10"/>
  <c r="AU168" i="12" l="1"/>
  <c r="AY168" s="1"/>
  <c r="BL29" i="8"/>
  <c r="BK29" s="1"/>
  <c r="AW168" i="12"/>
  <c r="P168" s="1"/>
  <c r="BL73" i="8"/>
  <c r="BK73" s="1"/>
  <c r="AY97"/>
  <c r="BH59" s="1"/>
  <c r="BJ73" i="11"/>
  <c r="BA97"/>
  <c r="BJ59" s="1"/>
  <c r="BJ61" s="1"/>
  <c r="BJ60" s="1"/>
  <c r="AV168" i="12"/>
  <c r="O168" s="1"/>
  <c r="Q191" i="11"/>
  <c r="Q192" s="1"/>
  <c r="BM151" s="1"/>
  <c r="R163"/>
  <c r="BC88"/>
  <c r="BC97" s="1"/>
  <c r="BJ76"/>
  <c r="BL76" s="1"/>
  <c r="BK76" s="1"/>
  <c r="BC27"/>
  <c r="BB191"/>
  <c r="BB192" s="1"/>
  <c r="BM153" s="1"/>
  <c r="BC163"/>
  <c r="BC191" s="1"/>
  <c r="BH73"/>
  <c r="R74"/>
  <c r="Q191" i="8"/>
  <c r="BK151" s="1"/>
  <c r="R163"/>
  <c r="R191" s="1"/>
  <c r="BH72"/>
  <c r="R69"/>
  <c r="R97" s="1"/>
  <c r="AT41" i="13"/>
  <c r="BB41" s="1"/>
  <c r="BC41" s="1"/>
  <c r="BJ120" i="12"/>
  <c r="BC121"/>
  <c r="AU121"/>
  <c r="AY121" s="1"/>
  <c r="AV121"/>
  <c r="AI191"/>
  <c r="BJ152" s="1"/>
  <c r="AH191"/>
  <c r="AG191"/>
  <c r="BJ167"/>
  <c r="CB66" i="10"/>
  <c r="N168" i="12"/>
  <c r="N121"/>
  <c r="AV41" i="13"/>
  <c r="AZ41" s="1"/>
  <c r="AZ168" i="12"/>
  <c r="C152" i="14"/>
  <c r="Q97" i="8"/>
  <c r="BK57" s="1"/>
  <c r="F190" i="14"/>
  <c r="P121" i="12"/>
  <c r="BL170" i="8"/>
  <c r="BK170" s="1"/>
  <c r="F152" i="14"/>
  <c r="BJ14" i="8"/>
  <c r="BJ13" s="1"/>
  <c r="BL123"/>
  <c r="BK123" s="1"/>
  <c r="BJ108"/>
  <c r="BJ107" s="1"/>
  <c r="R78" i="14"/>
  <c r="Q78" s="1"/>
  <c r="R73"/>
  <c r="Q73" s="1"/>
  <c r="BI108" i="8"/>
  <c r="BI107" s="1"/>
  <c r="BL167" i="11"/>
  <c r="BK167" s="1"/>
  <c r="AT22"/>
  <c r="AT50" s="1"/>
  <c r="BL26" i="8"/>
  <c r="BK26" s="1"/>
  <c r="R77" i="14"/>
  <c r="Q77" s="1"/>
  <c r="AK191" i="12"/>
  <c r="AK192" s="1"/>
  <c r="BN152" s="1"/>
  <c r="AY182"/>
  <c r="N182"/>
  <c r="N50" i="8"/>
  <c r="BH10" s="1"/>
  <c r="Q22"/>
  <c r="R22" s="1"/>
  <c r="E151" i="14"/>
  <c r="E188" s="1"/>
  <c r="BH61" i="8"/>
  <c r="BH60" s="1"/>
  <c r="C151" i="14"/>
  <c r="C188" s="1"/>
  <c r="B20"/>
  <c r="BK13" i="10"/>
  <c r="J20" i="14" s="1"/>
  <c r="AM6" s="1"/>
  <c r="C74"/>
  <c r="D81" i="17"/>
  <c r="AJ6" i="14"/>
  <c r="AJ144" i="12"/>
  <c r="AK144"/>
  <c r="BI117"/>
  <c r="BL117" s="1"/>
  <c r="BK117" s="1"/>
  <c r="AY144" i="8"/>
  <c r="BH106" s="1"/>
  <c r="BB116"/>
  <c r="BC116" s="1"/>
  <c r="P182" i="12"/>
  <c r="BA182"/>
  <c r="BH166" i="8"/>
  <c r="R191" i="11"/>
  <c r="BH166"/>
  <c r="N41"/>
  <c r="AY41"/>
  <c r="AT144"/>
  <c r="AW116"/>
  <c r="BA116" s="1"/>
  <c r="BA144" s="1"/>
  <c r="BJ106" s="1"/>
  <c r="BJ108" s="1"/>
  <c r="BJ107" s="1"/>
  <c r="AU116"/>
  <c r="AY116" s="1"/>
  <c r="AY144" s="1"/>
  <c r="BH106" s="1"/>
  <c r="BH108" s="1"/>
  <c r="BH107" s="1"/>
  <c r="BB116"/>
  <c r="AV116"/>
  <c r="AZ116" s="1"/>
  <c r="AZ144" s="1"/>
  <c r="BI106" s="1"/>
  <c r="BI108" s="1"/>
  <c r="BI107" s="1"/>
  <c r="Q116"/>
  <c r="R116" s="1"/>
  <c r="N74" i="14"/>
  <c r="BL24" i="13"/>
  <c r="BK24" s="1"/>
  <c r="BB97" i="8"/>
  <c r="BC97"/>
  <c r="BJ72"/>
  <c r="BX137" s="1"/>
  <c r="BJ123" i="12"/>
  <c r="G20" i="14"/>
  <c r="BL14" i="10"/>
  <c r="BZ43"/>
  <c r="CB43" s="1"/>
  <c r="BL76" i="8"/>
  <c r="BK76" s="1"/>
  <c r="BJ120" i="11"/>
  <c r="BA27"/>
  <c r="P27"/>
  <c r="BZ69" i="10"/>
  <c r="CA66"/>
  <c r="BC191" i="8"/>
  <c r="BJ166"/>
  <c r="BX135" s="1"/>
  <c r="R97" i="11"/>
  <c r="BH72"/>
  <c r="Q97"/>
  <c r="G7" i="14"/>
  <c r="BN14" i="10"/>
  <c r="G87" i="14"/>
  <c r="BV137" i="8"/>
  <c r="BJ26" i="11"/>
  <c r="AS50" i="13"/>
  <c r="BJ123" i="11"/>
  <c r="BL123" s="1"/>
  <c r="BK123" s="1"/>
  <c r="BB97"/>
  <c r="BJ72"/>
  <c r="BX92" s="1"/>
  <c r="AZ182" i="12"/>
  <c r="O182"/>
  <c r="AU27" i="13"/>
  <c r="AV27"/>
  <c r="AW27"/>
  <c r="BB27"/>
  <c r="BJ166" i="11"/>
  <c r="BX89" s="1"/>
  <c r="BJ29"/>
  <c r="AY50" i="8"/>
  <c r="BH12" s="1"/>
  <c r="BB22"/>
  <c r="BC22" s="1"/>
  <c r="N80" i="14"/>
  <c r="R80" s="1"/>
  <c r="Q80" s="1"/>
  <c r="BL30" i="13"/>
  <c r="BK30" s="1"/>
  <c r="P135" i="12"/>
  <c r="BA135"/>
  <c r="BI14" i="8"/>
  <c r="BI13" s="1"/>
  <c r="BB191"/>
  <c r="F59" i="14"/>
  <c r="O55" s="1"/>
  <c r="P55" s="1"/>
  <c r="BL154" i="10"/>
  <c r="BL167" i="8"/>
  <c r="BK167" s="1"/>
  <c r="BH120" i="11"/>
  <c r="AZ27"/>
  <c r="O27"/>
  <c r="AT144" i="12"/>
  <c r="AV116"/>
  <c r="BB116"/>
  <c r="AW116"/>
  <c r="AU116"/>
  <c r="AJ192"/>
  <c r="BM152" s="1"/>
  <c r="BK152"/>
  <c r="BI152"/>
  <c r="P41" i="11"/>
  <c r="BA41"/>
  <c r="BV69" i="10"/>
  <c r="BW66"/>
  <c r="BW69" s="1"/>
  <c r="AZ135" i="12"/>
  <c r="O135"/>
  <c r="AT191"/>
  <c r="AW163"/>
  <c r="AV163"/>
  <c r="AU163"/>
  <c r="BB163"/>
  <c r="Q116" i="8"/>
  <c r="R116" s="1"/>
  <c r="N144"/>
  <c r="BH104" s="1"/>
  <c r="B7" i="14"/>
  <c r="B87"/>
  <c r="BM13" i="10"/>
  <c r="BK16"/>
  <c r="BJ170" i="12"/>
  <c r="BK151" i="11"/>
  <c r="AZ41"/>
  <c r="O41"/>
  <c r="B59" i="14"/>
  <c r="B126" s="1"/>
  <c r="BK154" i="10"/>
  <c r="J59" i="14" s="1"/>
  <c r="AY135" i="12"/>
  <c r="N135"/>
  <c r="BV47" i="10"/>
  <c r="BV46" s="1"/>
  <c r="BW43"/>
  <c r="BW47" s="1"/>
  <c r="BW46" s="1"/>
  <c r="F153" i="14"/>
  <c r="N27" i="11"/>
  <c r="AY27"/>
  <c r="Q168" i="12" l="1"/>
  <c r="R168" s="1"/>
  <c r="BK153" i="11"/>
  <c r="BK155" s="1"/>
  <c r="B64" i="14" s="1"/>
  <c r="B131" s="1"/>
  <c r="BA168" i="12"/>
  <c r="BJ29" i="13"/>
  <c r="P79" i="14" s="1"/>
  <c r="BH108" i="8"/>
  <c r="BH107" s="1"/>
  <c r="BL73" i="11"/>
  <c r="BK73" s="1"/>
  <c r="Q192" i="8"/>
  <c r="BM151" s="1"/>
  <c r="BM155" i="11"/>
  <c r="BM154" s="1"/>
  <c r="Q144"/>
  <c r="BL120"/>
  <c r="BK120" s="1"/>
  <c r="C189" i="14"/>
  <c r="F189" s="1"/>
  <c r="BB144" i="11"/>
  <c r="BB145" s="1"/>
  <c r="BM106" s="1"/>
  <c r="BC116"/>
  <c r="BC144" s="1"/>
  <c r="AU41" i="13"/>
  <c r="AW41"/>
  <c r="BC27"/>
  <c r="AZ121" i="12"/>
  <c r="O121"/>
  <c r="Q121" s="1"/>
  <c r="R121" s="1"/>
  <c r="BB191"/>
  <c r="BB192" s="1"/>
  <c r="BM153" s="1"/>
  <c r="BC163"/>
  <c r="BC191" s="1"/>
  <c r="BB144"/>
  <c r="BB145" s="1"/>
  <c r="BM106" s="1"/>
  <c r="BC116"/>
  <c r="BC144" s="1"/>
  <c r="O41" i="13"/>
  <c r="Q98" i="8"/>
  <c r="BM57" s="1"/>
  <c r="C10" i="14" s="1"/>
  <c r="CB69" i="10"/>
  <c r="Q27" i="11"/>
  <c r="AW22"/>
  <c r="AU22"/>
  <c r="N22" s="1"/>
  <c r="N50" s="1"/>
  <c r="BH10" s="1"/>
  <c r="AV22"/>
  <c r="AZ22" s="1"/>
  <c r="AZ50" s="1"/>
  <c r="BI12" s="1"/>
  <c r="BB22"/>
  <c r="AT22" i="13"/>
  <c r="BB22" s="1"/>
  <c r="BC22" s="1"/>
  <c r="BH152" i="12"/>
  <c r="BL72" i="8"/>
  <c r="BK72" s="1"/>
  <c r="R74" i="14"/>
  <c r="Q74" s="1"/>
  <c r="BL152" i="12"/>
  <c r="H60" i="14" s="1"/>
  <c r="R192" i="11"/>
  <c r="BN151" s="1"/>
  <c r="BL151"/>
  <c r="AZ163" i="12"/>
  <c r="AZ191" s="1"/>
  <c r="BI153" s="1"/>
  <c r="O163"/>
  <c r="O191" s="1"/>
  <c r="BI151" s="1"/>
  <c r="N116"/>
  <c r="N144" s="1"/>
  <c r="BH104" s="1"/>
  <c r="AY116"/>
  <c r="AY144" s="1"/>
  <c r="BH106" s="1"/>
  <c r="BV92" i="11"/>
  <c r="BL72"/>
  <c r="BK72" s="1"/>
  <c r="BL166" i="8"/>
  <c r="BK166" s="1"/>
  <c r="BV135"/>
  <c r="BC144"/>
  <c r="BJ119"/>
  <c r="BX136" s="1"/>
  <c r="BB144"/>
  <c r="BH14"/>
  <c r="BH13" s="1"/>
  <c r="J87" i="14"/>
  <c r="J7"/>
  <c r="BH119" i="8"/>
  <c r="R144"/>
  <c r="Q144"/>
  <c r="P163" i="12"/>
  <c r="P191" s="1"/>
  <c r="BJ151" s="1"/>
  <c r="BA163"/>
  <c r="BA191" s="1"/>
  <c r="BJ153" s="1"/>
  <c r="P116"/>
  <c r="P144" s="1"/>
  <c r="BJ104" s="1"/>
  <c r="BA116"/>
  <c r="BA144" s="1"/>
  <c r="BJ106" s="1"/>
  <c r="AZ27" i="13"/>
  <c r="O27"/>
  <c r="BL59" i="11"/>
  <c r="BC98"/>
  <c r="BN59" s="1"/>
  <c r="BL57"/>
  <c r="R98"/>
  <c r="BN57" s="1"/>
  <c r="CA69" i="10"/>
  <c r="CA43"/>
  <c r="AF55" i="14" s="1"/>
  <c r="BZ47" i="10"/>
  <c r="CB47" s="1"/>
  <c r="BB98" i="8"/>
  <c r="BM59" s="1"/>
  <c r="BK59"/>
  <c r="BK61" s="1"/>
  <c r="B23" i="14" s="1"/>
  <c r="Q182" i="12"/>
  <c r="R182" s="1"/>
  <c r="C23" i="14"/>
  <c r="BX113" i="8"/>
  <c r="Q135" i="12"/>
  <c r="R135" s="1"/>
  <c r="BV66" i="11"/>
  <c r="C64" i="14"/>
  <c r="C131" s="1"/>
  <c r="BK104" i="11"/>
  <c r="Q145"/>
  <c r="BM104" s="1"/>
  <c r="BA27" i="13"/>
  <c r="P27"/>
  <c r="BK106" i="12"/>
  <c r="R144" i="11"/>
  <c r="BH119"/>
  <c r="BK153" i="12"/>
  <c r="BH167"/>
  <c r="BL167" s="1"/>
  <c r="BK167" s="1"/>
  <c r="BJ166"/>
  <c r="BX89" s="1"/>
  <c r="BV113" i="8"/>
  <c r="C49" i="14"/>
  <c r="C116" s="1"/>
  <c r="C129" s="1"/>
  <c r="BV67" i="12"/>
  <c r="D60" i="14"/>
  <c r="D127" s="1"/>
  <c r="D134" s="1"/>
  <c r="BJ119" i="12"/>
  <c r="BX90" s="1"/>
  <c r="AY27" i="13"/>
  <c r="N27"/>
  <c r="F20" i="14"/>
  <c r="S55" s="1"/>
  <c r="BL13" i="10"/>
  <c r="BJ119" i="11"/>
  <c r="BX91" s="1"/>
  <c r="BX90" s="1"/>
  <c r="B37" i="17"/>
  <c r="B38" s="1"/>
  <c r="B39" s="1"/>
  <c r="B74" i="14"/>
  <c r="C81" i="17"/>
  <c r="AI6" i="14"/>
  <c r="F188"/>
  <c r="F151"/>
  <c r="BL153" i="11"/>
  <c r="BC192"/>
  <c r="BN153" s="1"/>
  <c r="F87" i="14"/>
  <c r="F7"/>
  <c r="E55" i="17" s="1"/>
  <c r="BN13" i="10"/>
  <c r="BL59" i="8"/>
  <c r="BC98"/>
  <c r="BN59" s="1"/>
  <c r="BV89" i="11"/>
  <c r="BL166"/>
  <c r="BK166" s="1"/>
  <c r="AJ145" i="12"/>
  <c r="BM105" s="1"/>
  <c r="BK105"/>
  <c r="AY163"/>
  <c r="AY191" s="1"/>
  <c r="BH153" s="1"/>
  <c r="N163"/>
  <c r="AZ116"/>
  <c r="O116"/>
  <c r="BL57" i="8"/>
  <c r="R98"/>
  <c r="BN57" s="1"/>
  <c r="BB192"/>
  <c r="BM153" s="1"/>
  <c r="BM155" s="1"/>
  <c r="BM154" s="1"/>
  <c r="BK153"/>
  <c r="BK155" s="1"/>
  <c r="B49" i="14" s="1"/>
  <c r="B116" s="1"/>
  <c r="B129" s="1"/>
  <c r="BJ25" i="8"/>
  <c r="BX138" s="1"/>
  <c r="BC50"/>
  <c r="BB50"/>
  <c r="BJ26" i="13"/>
  <c r="P76" i="14" s="1"/>
  <c r="BK59" i="11"/>
  <c r="BB98"/>
  <c r="BM59" s="1"/>
  <c r="BK57"/>
  <c r="Q98"/>
  <c r="BM57" s="1"/>
  <c r="BC192" i="8"/>
  <c r="BN153" s="1"/>
  <c r="BL153"/>
  <c r="Q41" i="11"/>
  <c r="R41" s="1"/>
  <c r="BL151" i="8"/>
  <c r="R192"/>
  <c r="BN151" s="1"/>
  <c r="BA22" i="11"/>
  <c r="BA50" s="1"/>
  <c r="BJ12" s="1"/>
  <c r="P22"/>
  <c r="P50" s="1"/>
  <c r="BJ10" s="1"/>
  <c r="AK145" i="12"/>
  <c r="BN105" s="1"/>
  <c r="BL105"/>
  <c r="BH25" i="8"/>
  <c r="R50"/>
  <c r="Q50"/>
  <c r="E64" i="14" l="1"/>
  <c r="E131" s="1"/>
  <c r="BV68" i="11"/>
  <c r="O144" i="12"/>
  <c r="BI104" s="1"/>
  <c r="C90" i="14"/>
  <c r="BK106" i="11"/>
  <c r="E51" i="14" s="1"/>
  <c r="E118" s="1"/>
  <c r="BH120" i="12"/>
  <c r="BL120" s="1"/>
  <c r="BK120" s="1"/>
  <c r="BM108" i="11"/>
  <c r="BM107" s="1"/>
  <c r="BM61" i="8"/>
  <c r="BM60" s="1"/>
  <c r="BB50" i="11"/>
  <c r="BC22"/>
  <c r="BC50" s="1"/>
  <c r="BL12" s="1"/>
  <c r="BH26"/>
  <c r="BL26" s="1"/>
  <c r="BK26" s="1"/>
  <c r="R27"/>
  <c r="N41" i="13"/>
  <c r="AY41"/>
  <c r="BA41"/>
  <c r="P41"/>
  <c r="AZ144" i="12"/>
  <c r="BI106" s="1"/>
  <c r="BI108" s="1"/>
  <c r="BI107" s="1"/>
  <c r="BJ25" i="11"/>
  <c r="BX93" s="1"/>
  <c r="O22"/>
  <c r="O50" s="1"/>
  <c r="BI10" s="1"/>
  <c r="C160" i="14" s="1"/>
  <c r="C197" s="1"/>
  <c r="BI155" i="12"/>
  <c r="BI154" s="1"/>
  <c r="BY67"/>
  <c r="BZ67"/>
  <c r="AT50" i="13"/>
  <c r="AU22"/>
  <c r="AY22" s="1"/>
  <c r="AW22"/>
  <c r="P22" s="1"/>
  <c r="AY22" i="11"/>
  <c r="AY50" s="1"/>
  <c r="BH12" s="1"/>
  <c r="BH14" s="1"/>
  <c r="AV22" i="13"/>
  <c r="O22" s="1"/>
  <c r="O50" s="1"/>
  <c r="BI10" s="1"/>
  <c r="BH108" i="12"/>
  <c r="BH107" s="1"/>
  <c r="BJ108"/>
  <c r="BJ107" s="1"/>
  <c r="BJ155"/>
  <c r="BJ154" s="1"/>
  <c r="BN155" i="11"/>
  <c r="BN154" s="1"/>
  <c r="BM61"/>
  <c r="BM60" s="1"/>
  <c r="O35" i="14"/>
  <c r="BV44" i="12"/>
  <c r="BZ44" s="1"/>
  <c r="BK154" i="11"/>
  <c r="J64" i="14" s="1"/>
  <c r="BL104" i="11"/>
  <c r="R145"/>
  <c r="BN104" s="1"/>
  <c r="R51" i="8"/>
  <c r="BN10" s="1"/>
  <c r="BL10"/>
  <c r="BN155"/>
  <c r="BN154" s="1"/>
  <c r="I49" i="14"/>
  <c r="BV92" i="8"/>
  <c r="BB51"/>
  <c r="BM12" s="1"/>
  <c r="BK12"/>
  <c r="BY115" s="1"/>
  <c r="BN61"/>
  <c r="BN60" s="1"/>
  <c r="G10" i="14"/>
  <c r="G90"/>
  <c r="Q163" i="12"/>
  <c r="E160" i="14"/>
  <c r="E197" s="1"/>
  <c r="BX92" i="8"/>
  <c r="I23" i="14"/>
  <c r="Q22" i="11"/>
  <c r="BL106" i="12"/>
  <c r="BC145"/>
  <c r="BN106" s="1"/>
  <c r="BV68"/>
  <c r="E60" i="14"/>
  <c r="E127" s="1"/>
  <c r="BH123" i="12"/>
  <c r="BL123" s="1"/>
  <c r="BK123" s="1"/>
  <c r="N191"/>
  <c r="BX115" i="8"/>
  <c r="BX116" s="1"/>
  <c r="E23" i="14"/>
  <c r="BK60" i="8"/>
  <c r="J23" i="14" s="1"/>
  <c r="AM9" s="1"/>
  <c r="I38"/>
  <c r="BY45" i="11"/>
  <c r="BK104" i="8"/>
  <c r="Q145"/>
  <c r="BM104" s="1"/>
  <c r="BL106"/>
  <c r="BC145"/>
  <c r="BN106" s="1"/>
  <c r="E161" i="14"/>
  <c r="E198" s="1"/>
  <c r="BY66" i="11"/>
  <c r="C38" i="14"/>
  <c r="C105" s="1"/>
  <c r="BK61" i="11"/>
  <c r="B38" i="14" s="1"/>
  <c r="B105" s="1"/>
  <c r="BI14" i="11"/>
  <c r="BI13" s="1"/>
  <c r="BJ14"/>
  <c r="BJ13" s="1"/>
  <c r="C161" i="14"/>
  <c r="C198" s="1"/>
  <c r="BL25" i="8"/>
  <c r="BK25" s="1"/>
  <c r="BV138"/>
  <c r="BL12"/>
  <c r="BC51"/>
  <c r="BN12" s="1"/>
  <c r="BL61"/>
  <c r="F23" i="14" s="1"/>
  <c r="S58" s="1"/>
  <c r="G23"/>
  <c r="BX90" i="8"/>
  <c r="BW67" i="12"/>
  <c r="D47" i="14"/>
  <c r="D114" s="1"/>
  <c r="BJ25" i="13"/>
  <c r="BC50"/>
  <c r="BB50"/>
  <c r="BL153" i="12"/>
  <c r="BC192"/>
  <c r="BN153" s="1"/>
  <c r="BW68"/>
  <c r="E47" i="14"/>
  <c r="E114" s="1"/>
  <c r="E101" s="1"/>
  <c r="BH170" i="12"/>
  <c r="BL170" s="1"/>
  <c r="BK170" s="1"/>
  <c r="E90" i="14"/>
  <c r="E10"/>
  <c r="BN61" i="11"/>
  <c r="BN60" s="1"/>
  <c r="BL104" i="8"/>
  <c r="R145"/>
  <c r="BN104" s="1"/>
  <c r="Q51"/>
  <c r="BM10" s="1"/>
  <c r="BK10"/>
  <c r="H47" i="14"/>
  <c r="BW44" i="12"/>
  <c r="BH29" i="11"/>
  <c r="BL29" s="1"/>
  <c r="BK29" s="1"/>
  <c r="I90" i="14"/>
  <c r="I10"/>
  <c r="BL119" i="11"/>
  <c r="BK119" s="1"/>
  <c r="BV91"/>
  <c r="BV90" s="1"/>
  <c r="B77" i="14"/>
  <c r="E37" i="17"/>
  <c r="AI9" i="14"/>
  <c r="C84" i="17"/>
  <c r="BV90" i="8"/>
  <c r="G49" i="14"/>
  <c r="BL155" i="8"/>
  <c r="F49" i="14" s="1"/>
  <c r="Q58" s="1"/>
  <c r="BY68" i="11"/>
  <c r="E38" i="14"/>
  <c r="E105" s="1"/>
  <c r="C159"/>
  <c r="C196" s="1"/>
  <c r="BV115" i="8"/>
  <c r="BZ115" s="1"/>
  <c r="E49" i="14"/>
  <c r="E116" s="1"/>
  <c r="E129" s="1"/>
  <c r="BK154" i="8"/>
  <c r="J49" i="14" s="1"/>
  <c r="B90"/>
  <c r="I64"/>
  <c r="BV45" i="11"/>
  <c r="BL106"/>
  <c r="BC145"/>
  <c r="BN106" s="1"/>
  <c r="Q27" i="13"/>
  <c r="R27" s="1"/>
  <c r="BK63" i="8"/>
  <c r="BX66" i="11"/>
  <c r="BW66" s="1"/>
  <c r="BK108"/>
  <c r="B51" i="14" s="1"/>
  <c r="B118" s="1"/>
  <c r="C51"/>
  <c r="C118" s="1"/>
  <c r="BV69" i="11"/>
  <c r="AJ9" i="14"/>
  <c r="C77"/>
  <c r="D84" i="17"/>
  <c r="BZ46" i="10"/>
  <c r="CA47"/>
  <c r="AF59" i="14" s="1"/>
  <c r="BL61" i="11"/>
  <c r="F38" i="14" s="1"/>
  <c r="R60" s="1"/>
  <c r="BY43" i="11"/>
  <c r="G38" i="14"/>
  <c r="BL119" i="8"/>
  <c r="BK119" s="1"/>
  <c r="BV136"/>
  <c r="BK106"/>
  <c r="BB145"/>
  <c r="BM106" s="1"/>
  <c r="Q116" i="12"/>
  <c r="R116" s="1"/>
  <c r="G64" i="14"/>
  <c r="BV43" i="11"/>
  <c r="BL155"/>
  <c r="F64" i="14" s="1"/>
  <c r="O60" s="1"/>
  <c r="B10" l="1"/>
  <c r="BX68" i="11"/>
  <c r="BW68" s="1"/>
  <c r="AY50" i="13"/>
  <c r="P50"/>
  <c r="BJ10" s="1"/>
  <c r="C149" i="14" s="1"/>
  <c r="C186" s="1"/>
  <c r="V35"/>
  <c r="O45"/>
  <c r="V45" s="1"/>
  <c r="Q50" i="11"/>
  <c r="BK10" s="1"/>
  <c r="R22"/>
  <c r="BB51"/>
  <c r="BM12" s="1"/>
  <c r="BK12"/>
  <c r="Q41" i="13"/>
  <c r="Q191" i="12"/>
  <c r="BK151" s="1"/>
  <c r="R163"/>
  <c r="R191" s="1"/>
  <c r="E38" i="17"/>
  <c r="E39" s="1"/>
  <c r="BA22" i="13"/>
  <c r="BA50" s="1"/>
  <c r="BJ12" s="1"/>
  <c r="E149" i="14" s="1"/>
  <c r="E186" s="1"/>
  <c r="U35"/>
  <c r="BM14" i="8"/>
  <c r="BM13" s="1"/>
  <c r="P75" i="14"/>
  <c r="E159"/>
  <c r="F159" s="1"/>
  <c r="BY68" i="12"/>
  <c r="BZ68"/>
  <c r="CA46" i="10"/>
  <c r="AF58" i="14" s="1"/>
  <c r="CB46" i="10"/>
  <c r="CA115" i="8"/>
  <c r="BC51" i="11"/>
  <c r="BN12" s="1"/>
  <c r="I12" i="14" s="1"/>
  <c r="BY47" i="11"/>
  <c r="BY46" s="1"/>
  <c r="BX94" i="8"/>
  <c r="BX93" s="1"/>
  <c r="AZ22" i="13"/>
  <c r="AZ50" s="1"/>
  <c r="BI12" s="1"/>
  <c r="E148" i="14" s="1"/>
  <c r="E185" s="1"/>
  <c r="N22" i="13"/>
  <c r="N50" s="1"/>
  <c r="BH10" s="1"/>
  <c r="BY44" i="12"/>
  <c r="AG56" i="14" s="1"/>
  <c r="BV94" i="8"/>
  <c r="BV93" s="1"/>
  <c r="BN108"/>
  <c r="BN107" s="1"/>
  <c r="BH151" i="12"/>
  <c r="BH155" s="1"/>
  <c r="BH154" s="1"/>
  <c r="BL154" i="8"/>
  <c r="BL60" i="11"/>
  <c r="R144" i="12"/>
  <c r="BH119"/>
  <c r="C36" i="14"/>
  <c r="C103" s="1"/>
  <c r="BK108" i="8"/>
  <c r="B36" i="14" s="1"/>
  <c r="B103" s="1"/>
  <c r="BW113" i="8"/>
  <c r="AL9" i="14"/>
  <c r="E77"/>
  <c r="BV47" i="11"/>
  <c r="BV46" s="1"/>
  <c r="BW115" i="8"/>
  <c r="E36" i="14"/>
  <c r="E103" s="1"/>
  <c r="I25"/>
  <c r="BZ45" i="11"/>
  <c r="CB45" s="1"/>
  <c r="BX69"/>
  <c r="BH26" i="13"/>
  <c r="BL154" i="11"/>
  <c r="BL108" i="8"/>
  <c r="F36" i="14" s="1"/>
  <c r="R58" s="1"/>
  <c r="BW90" i="8"/>
  <c r="G36" i="14"/>
  <c r="BH13" i="11"/>
  <c r="BY92" i="8"/>
  <c r="CA92" s="1"/>
  <c r="BM108"/>
  <c r="BM107" s="1"/>
  <c r="Q144" i="12"/>
  <c r="BL14" i="8"/>
  <c r="T58" i="14" s="1"/>
  <c r="BY90" i="8"/>
  <c r="CA90" s="1"/>
  <c r="BV116"/>
  <c r="I51" i="14"/>
  <c r="BX45" i="11"/>
  <c r="BW45" s="1"/>
  <c r="C148" i="14"/>
  <c r="C185" s="1"/>
  <c r="I60"/>
  <c r="BV45" i="12"/>
  <c r="BZ45" s="1"/>
  <c r="BK12" i="13"/>
  <c r="BB51"/>
  <c r="BM12" s="1"/>
  <c r="D101" i="14"/>
  <c r="D108" s="1"/>
  <c r="R35" s="1"/>
  <c r="R45" s="1"/>
  <c r="D121"/>
  <c r="Q35" s="1"/>
  <c r="Q45" s="1"/>
  <c r="O86"/>
  <c r="F198"/>
  <c r="F161"/>
  <c r="I47"/>
  <c r="BW45" i="12"/>
  <c r="BL60" i="8"/>
  <c r="F197" i="14"/>
  <c r="F160"/>
  <c r="F90"/>
  <c r="F10"/>
  <c r="E58" i="17" s="1"/>
  <c r="BN14" i="8"/>
  <c r="BN13" s="1"/>
  <c r="BN108" i="11"/>
  <c r="BN107" s="1"/>
  <c r="BW69"/>
  <c r="J10" i="14"/>
  <c r="J90"/>
  <c r="BK14" i="8"/>
  <c r="BK13" s="1"/>
  <c r="BY113"/>
  <c r="CA113" s="1"/>
  <c r="BK60" i="11"/>
  <c r="J38" i="14" s="1"/>
  <c r="BC51" i="13"/>
  <c r="BN12" s="1"/>
  <c r="BL12"/>
  <c r="P86" i="14"/>
  <c r="BY69" i="11"/>
  <c r="I36" i="14"/>
  <c r="BW92" i="8"/>
  <c r="R50" i="11"/>
  <c r="BH25"/>
  <c r="BH166" i="12"/>
  <c r="BK107" i="11"/>
  <c r="J51" i="14" s="1"/>
  <c r="G51"/>
  <c r="BX43" i="11"/>
  <c r="BL108"/>
  <c r="F51" i="14" s="1"/>
  <c r="Q60" s="1"/>
  <c r="P60" s="1"/>
  <c r="Q192" i="12" l="1"/>
  <c r="BM151" s="1"/>
  <c r="BM155" s="1"/>
  <c r="BM154" s="1"/>
  <c r="BK107" i="8"/>
  <c r="J36" i="14" s="1"/>
  <c r="BH12" i="13"/>
  <c r="Q51" i="11"/>
  <c r="BM10" s="1"/>
  <c r="C12" i="14" s="1"/>
  <c r="E196"/>
  <c r="F196" s="1"/>
  <c r="BZ68" i="11"/>
  <c r="E25" i="14"/>
  <c r="E12"/>
  <c r="E92"/>
  <c r="R41" i="13"/>
  <c r="BH29"/>
  <c r="BJ14"/>
  <c r="BJ13" s="1"/>
  <c r="P88" i="14"/>
  <c r="P95" s="1"/>
  <c r="Q22" i="13"/>
  <c r="I92" i="14"/>
  <c r="O88"/>
  <c r="O95" s="1"/>
  <c r="BZ92" i="8"/>
  <c r="AH57" i="14" s="1"/>
  <c r="U45"/>
  <c r="AM56" s="1"/>
  <c r="BI14" i="13"/>
  <c r="BI13" s="1"/>
  <c r="BX47" i="11"/>
  <c r="BX46" s="1"/>
  <c r="F185" i="14"/>
  <c r="F148"/>
  <c r="BL151" i="12"/>
  <c r="R192"/>
  <c r="BN151" s="1"/>
  <c r="BN155" s="1"/>
  <c r="BN154" s="1"/>
  <c r="R51" i="11"/>
  <c r="BN10" s="1"/>
  <c r="BL10"/>
  <c r="R145" i="12"/>
  <c r="BN104" s="1"/>
  <c r="BN108" s="1"/>
  <c r="BN107" s="1"/>
  <c r="BL104"/>
  <c r="C60" i="14"/>
  <c r="C127" s="1"/>
  <c r="BK155" i="12"/>
  <c r="BV66"/>
  <c r="BZ66" s="1"/>
  <c r="Q145"/>
  <c r="BM104" s="1"/>
  <c r="BM108" s="1"/>
  <c r="BM107" s="1"/>
  <c r="BK104"/>
  <c r="I89" i="14"/>
  <c r="I9"/>
  <c r="BY116" i="8"/>
  <c r="BZ113"/>
  <c r="BY45" i="12"/>
  <c r="AG57" i="14" s="1"/>
  <c r="BL107" i="11"/>
  <c r="N76" i="14"/>
  <c r="R76" s="1"/>
  <c r="Q76" s="1"/>
  <c r="BL26" i="13"/>
  <c r="BK26" s="1"/>
  <c r="CA45" i="11"/>
  <c r="AJ57" i="14" s="1"/>
  <c r="BW116" i="8"/>
  <c r="P45" i="14"/>
  <c r="P35"/>
  <c r="BL107" i="8"/>
  <c r="E9" i="14"/>
  <c r="E89"/>
  <c r="BY94" i="8"/>
  <c r="BY93" s="1"/>
  <c r="BZ90"/>
  <c r="AH55" i="14" s="1"/>
  <c r="C147"/>
  <c r="BH14" i="13"/>
  <c r="N86" i="14"/>
  <c r="BL13" i="8"/>
  <c r="F149" i="14"/>
  <c r="BV93" i="11"/>
  <c r="BL25"/>
  <c r="BK25" s="1"/>
  <c r="I22" i="14"/>
  <c r="BK14" i="11"/>
  <c r="C25" i="14"/>
  <c r="BZ66" i="11"/>
  <c r="CB66" s="1"/>
  <c r="BL166" i="12"/>
  <c r="BK166" s="1"/>
  <c r="BV89"/>
  <c r="P93" i="14"/>
  <c r="O93"/>
  <c r="E22"/>
  <c r="BH25" i="13"/>
  <c r="BW94" i="8"/>
  <c r="BW93" s="1"/>
  <c r="F186" i="14"/>
  <c r="BW43" i="11"/>
  <c r="BW47" s="1"/>
  <c r="BW46" s="1"/>
  <c r="BL119" i="12"/>
  <c r="BK119" s="1"/>
  <c r="BV90"/>
  <c r="E95" i="14" l="1"/>
  <c r="I95" s="1"/>
  <c r="C92"/>
  <c r="BM14" i="11"/>
  <c r="E15" i="14"/>
  <c r="I15" s="1"/>
  <c r="N88"/>
  <c r="E147"/>
  <c r="F147" s="1"/>
  <c r="P90"/>
  <c r="P97" s="1"/>
  <c r="P96" s="1"/>
  <c r="C184"/>
  <c r="E79"/>
  <c r="AL11"/>
  <c r="CA68" i="11"/>
  <c r="CB68"/>
  <c r="N79" i="14"/>
  <c r="R79" s="1"/>
  <c r="Q79" s="1"/>
  <c r="BL29" i="13"/>
  <c r="BK29" s="1"/>
  <c r="Q50"/>
  <c r="R22"/>
  <c r="R50" s="1"/>
  <c r="R51" s="1"/>
  <c r="BN10" s="1"/>
  <c r="O90" i="14"/>
  <c r="O89" s="1"/>
  <c r="BZ93" i="8"/>
  <c r="AH58" i="14" s="1"/>
  <c r="CA93" i="8"/>
  <c r="BZ94"/>
  <c r="AH59" i="14" s="1"/>
  <c r="CA94" i="8"/>
  <c r="BZ116"/>
  <c r="CA116"/>
  <c r="BN14" i="11"/>
  <c r="G92" i="14"/>
  <c r="G12"/>
  <c r="N75"/>
  <c r="R75" s="1"/>
  <c r="BL25" i="13"/>
  <c r="BK25" s="1"/>
  <c r="P89" i="14"/>
  <c r="B25"/>
  <c r="BK13" i="11"/>
  <c r="J25" i="14" s="1"/>
  <c r="AM11" s="1"/>
  <c r="BK16" i="11"/>
  <c r="C171" i="14"/>
  <c r="T46"/>
  <c r="T36"/>
  <c r="B60"/>
  <c r="B127" s="1"/>
  <c r="BK154" i="12"/>
  <c r="J60" i="14" s="1"/>
  <c r="BL14" i="11"/>
  <c r="G25" i="14"/>
  <c r="BZ43" i="11"/>
  <c r="CB43" s="1"/>
  <c r="C47" i="14"/>
  <c r="C114" s="1"/>
  <c r="C101" s="1"/>
  <c r="BW66" i="12"/>
  <c r="BW69" s="1"/>
  <c r="BK108"/>
  <c r="AL8" i="14"/>
  <c r="E76"/>
  <c r="E28"/>
  <c r="I28" s="1"/>
  <c r="CA66" i="11"/>
  <c r="BZ69"/>
  <c r="Q86" i="14"/>
  <c r="N93"/>
  <c r="BL108" i="12"/>
  <c r="G47" i="14"/>
  <c r="BW43" i="12"/>
  <c r="BW47" s="1"/>
  <c r="BW46" s="1"/>
  <c r="B92" i="14"/>
  <c r="B12"/>
  <c r="BM13" i="11"/>
  <c r="AJ11" i="14"/>
  <c r="C79"/>
  <c r="D86" i="17"/>
  <c r="BH13" i="13"/>
  <c r="BY66" i="12"/>
  <c r="BV69"/>
  <c r="G60" i="14"/>
  <c r="BV43" i="12"/>
  <c r="BZ43" s="1"/>
  <c r="BL155"/>
  <c r="N90" i="14" l="1"/>
  <c r="E184"/>
  <c r="F184" s="1"/>
  <c r="E171"/>
  <c r="N95"/>
  <c r="Q88"/>
  <c r="Q95" s="1"/>
  <c r="E128"/>
  <c r="E115"/>
  <c r="E121" s="1"/>
  <c r="Q36" s="1"/>
  <c r="Q46" s="1"/>
  <c r="E102"/>
  <c r="E108" s="1"/>
  <c r="R36" s="1"/>
  <c r="R46" s="1"/>
  <c r="BL10" i="13"/>
  <c r="G22" i="14" s="1"/>
  <c r="O97"/>
  <c r="O96" s="1"/>
  <c r="AL14"/>
  <c r="Q51" i="13"/>
  <c r="BM10" s="1"/>
  <c r="BK10"/>
  <c r="BY69" i="12"/>
  <c r="BZ69"/>
  <c r="CA69" i="11"/>
  <c r="CB69"/>
  <c r="G89" i="14"/>
  <c r="G9"/>
  <c r="BN14" i="13"/>
  <c r="J12" i="14"/>
  <c r="J92"/>
  <c r="N97"/>
  <c r="N96" s="1"/>
  <c r="N89"/>
  <c r="E134"/>
  <c r="E82"/>
  <c r="I82"/>
  <c r="F25"/>
  <c r="S60" s="1"/>
  <c r="BL13" i="11"/>
  <c r="B79" i="14"/>
  <c r="G37" i="17"/>
  <c r="C86"/>
  <c r="AI11" i="14"/>
  <c r="F60"/>
  <c r="O56" s="1"/>
  <c r="BL154" i="12"/>
  <c r="BZ47" i="11"/>
  <c r="CB47" s="1"/>
  <c r="CA43"/>
  <c r="AJ55" i="14" s="1"/>
  <c r="Q93"/>
  <c r="F12"/>
  <c r="E60" i="17" s="1"/>
  <c r="F92" i="14"/>
  <c r="BN13" i="11"/>
  <c r="F47" i="14"/>
  <c r="Q56" s="1"/>
  <c r="R56" s="1"/>
  <c r="BL107" i="12"/>
  <c r="BY43"/>
  <c r="AG55" i="14" s="1"/>
  <c r="BV47" i="12"/>
  <c r="BZ47" s="1"/>
  <c r="B47" i="14"/>
  <c r="B114" s="1"/>
  <c r="B101" s="1"/>
  <c r="BK107" i="12"/>
  <c r="J47" i="14" s="1"/>
  <c r="R82"/>
  <c r="S82" s="1"/>
  <c r="Q75"/>
  <c r="BL14" i="13" l="1"/>
  <c r="Q90" i="14"/>
  <c r="Q97" s="1"/>
  <c r="Q96" s="1"/>
  <c r="C9"/>
  <c r="C15" s="1"/>
  <c r="G15" s="1"/>
  <c r="C89"/>
  <c r="C95" s="1"/>
  <c r="G95" s="1"/>
  <c r="BM14" i="13"/>
  <c r="BK14"/>
  <c r="C22" i="14"/>
  <c r="G38" i="17"/>
  <c r="G39" s="1"/>
  <c r="S36" i="14"/>
  <c r="S46" s="1"/>
  <c r="O36"/>
  <c r="P56"/>
  <c r="F89"/>
  <c r="F9"/>
  <c r="E57" i="17" s="1"/>
  <c r="BN13" i="13"/>
  <c r="BY47" i="12"/>
  <c r="AG59" i="14" s="1"/>
  <c r="BV46" i="12"/>
  <c r="BZ46" s="1"/>
  <c r="Q89" i="14"/>
  <c r="F22"/>
  <c r="S57" s="1"/>
  <c r="BL13" i="13"/>
  <c r="CA47" i="11"/>
  <c r="AJ59" i="14" s="1"/>
  <c r="BZ46" i="11"/>
  <c r="O46" i="14" l="1"/>
  <c r="P46" s="1"/>
  <c r="P36"/>
  <c r="B9"/>
  <c r="B15" s="1"/>
  <c r="F15" s="1"/>
  <c r="BM13" i="13"/>
  <c r="B89" i="14"/>
  <c r="B95" s="1"/>
  <c r="F95" s="1"/>
  <c r="AJ8"/>
  <c r="AJ14" s="1"/>
  <c r="D83" i="17"/>
  <c r="C76" i="14"/>
  <c r="C28"/>
  <c r="T44"/>
  <c r="T34"/>
  <c r="B22"/>
  <c r="BK13" i="13"/>
  <c r="J22" i="14" s="1"/>
  <c r="AM8" s="1"/>
  <c r="BK16" i="13"/>
  <c r="V36" i="14"/>
  <c r="CA46" i="11"/>
  <c r="AJ58" i="14" s="1"/>
  <c r="CB46" i="11"/>
  <c r="BY46" i="12"/>
  <c r="AG58" i="14" s="1"/>
  <c r="W36"/>
  <c r="U36"/>
  <c r="W46"/>
  <c r="G28" l="1"/>
  <c r="G82" s="1"/>
  <c r="C128"/>
  <c r="C134" s="1"/>
  <c r="C115"/>
  <c r="C121" s="1"/>
  <c r="Q34" s="1"/>
  <c r="Q44" s="1"/>
  <c r="C102"/>
  <c r="C108" s="1"/>
  <c r="R34" s="1"/>
  <c r="R44" s="1"/>
  <c r="U46"/>
  <c r="AM57" s="1"/>
  <c r="V46"/>
  <c r="J95"/>
  <c r="T48"/>
  <c r="T38"/>
  <c r="B76"/>
  <c r="D37" i="17"/>
  <c r="D38" s="1"/>
  <c r="D39" s="1"/>
  <c r="AI8" i="14"/>
  <c r="AI14" s="1"/>
  <c r="AM14" s="1"/>
  <c r="B28"/>
  <c r="F28" s="1"/>
  <c r="C83" i="17"/>
  <c r="C82" i="14"/>
  <c r="J9"/>
  <c r="J89"/>
  <c r="J15"/>
  <c r="B115" l="1"/>
  <c r="B102"/>
  <c r="B108" s="1"/>
  <c r="J108" s="1"/>
  <c r="B128"/>
  <c r="B134" s="1"/>
  <c r="J134" s="1"/>
  <c r="Q48"/>
  <c r="Q47" s="1"/>
  <c r="Q38"/>
  <c r="Q37" s="1"/>
  <c r="O34"/>
  <c r="O44" s="1"/>
  <c r="J28"/>
  <c r="J82" s="1"/>
  <c r="J37" i="17"/>
  <c r="J38" s="1"/>
  <c r="J39" s="1"/>
  <c r="F82" i="14"/>
  <c r="B121"/>
  <c r="J121" s="1"/>
  <c r="B82"/>
  <c r="S34"/>
  <c r="S44" s="1"/>
  <c r="R38"/>
  <c r="R37" s="1"/>
  <c r="R48"/>
  <c r="R47" s="1"/>
  <c r="T47"/>
  <c r="T37"/>
  <c r="P34" l="1"/>
  <c r="P38" s="1"/>
  <c r="P37" s="1"/>
  <c r="O38"/>
  <c r="O37" s="1"/>
  <c r="U34"/>
  <c r="V34"/>
  <c r="W34"/>
  <c r="S38"/>
  <c r="W44" l="1"/>
  <c r="V44"/>
  <c r="U44"/>
  <c r="AM55" s="1"/>
  <c r="S48"/>
  <c r="W38"/>
  <c r="V38"/>
  <c r="S37"/>
  <c r="U38"/>
  <c r="P44"/>
  <c r="P48" s="1"/>
  <c r="P47" s="1"/>
  <c r="O48"/>
  <c r="O47" s="1"/>
  <c r="U48" l="1"/>
  <c r="AM59" s="1"/>
  <c r="V48"/>
  <c r="W48"/>
  <c r="S47"/>
  <c r="U37"/>
  <c r="V37"/>
  <c r="W37"/>
  <c r="V47" l="1"/>
  <c r="W47"/>
  <c r="U47"/>
  <c r="AM58" s="1"/>
</calcChain>
</file>

<file path=xl/comments1.xml><?xml version="1.0" encoding="utf-8"?>
<comments xmlns="http://schemas.openxmlformats.org/spreadsheetml/2006/main">
  <authors>
    <author>Author</author>
  </authors>
  <commentList>
    <comment ref="W91" authorId="0">
      <text>
        <r>
          <rPr>
            <b/>
            <sz val="9"/>
            <color indexed="81"/>
            <rFont val="Tahoma"/>
            <family val="2"/>
          </rPr>
          <t>Author:</t>
        </r>
        <r>
          <rPr>
            <sz val="9"/>
            <color indexed="81"/>
            <rFont val="Tahoma"/>
            <family val="2"/>
          </rPr>
          <t xml:space="preserve">
May include some liquids e.g. oils</t>
        </r>
      </text>
    </comment>
    <comment ref="W138" authorId="0">
      <text>
        <r>
          <rPr>
            <b/>
            <sz val="9"/>
            <color indexed="81"/>
            <rFont val="Tahoma"/>
            <family val="2"/>
          </rPr>
          <t>Author:</t>
        </r>
        <r>
          <rPr>
            <sz val="9"/>
            <color indexed="81"/>
            <rFont val="Tahoma"/>
            <family val="2"/>
          </rPr>
          <t xml:space="preserve">
May include some liquids e.g. oils</t>
        </r>
      </text>
    </comment>
    <comment ref="W185" authorId="0">
      <text>
        <r>
          <rPr>
            <b/>
            <sz val="9"/>
            <color indexed="81"/>
            <rFont val="Tahoma"/>
            <family val="2"/>
          </rPr>
          <t>Author:</t>
        </r>
        <r>
          <rPr>
            <sz val="9"/>
            <color indexed="81"/>
            <rFont val="Tahoma"/>
            <family val="2"/>
          </rPr>
          <t xml:space="preserve">
May include some liquids e.g. oils</t>
        </r>
      </text>
    </comment>
  </commentList>
</comments>
</file>

<file path=xl/comments2.xml><?xml version="1.0" encoding="utf-8"?>
<comments xmlns="http://schemas.openxmlformats.org/spreadsheetml/2006/main">
  <authors>
    <author>Author</author>
  </authors>
  <commentList>
    <comment ref="AQ18" authorId="0">
      <text>
        <r>
          <rPr>
            <b/>
            <sz val="9"/>
            <color indexed="81"/>
            <rFont val="Tahoma"/>
            <family val="2"/>
          </rPr>
          <t>Author:</t>
        </r>
        <r>
          <rPr>
            <sz val="9"/>
            <color indexed="81"/>
            <rFont val="Tahoma"/>
            <family val="2"/>
          </rPr>
          <t xml:space="preserve">
MSW</t>
        </r>
      </text>
    </comment>
    <comment ref="AQ19" authorId="0">
      <text>
        <r>
          <rPr>
            <b/>
            <sz val="9"/>
            <color indexed="81"/>
            <rFont val="Tahoma"/>
            <family val="2"/>
          </rPr>
          <t>Author:</t>
        </r>
        <r>
          <rPr>
            <sz val="9"/>
            <color indexed="81"/>
            <rFont val="Tahoma"/>
            <family val="2"/>
          </rPr>
          <t xml:space="preserve">
C&amp;I</t>
        </r>
      </text>
    </comment>
    <comment ref="AQ65" authorId="0">
      <text>
        <r>
          <rPr>
            <b/>
            <sz val="9"/>
            <color indexed="81"/>
            <rFont val="Tahoma"/>
            <family val="2"/>
          </rPr>
          <t>Author:</t>
        </r>
        <r>
          <rPr>
            <sz val="9"/>
            <color indexed="81"/>
            <rFont val="Tahoma"/>
            <family val="2"/>
          </rPr>
          <t xml:space="preserve">
MSW</t>
        </r>
      </text>
    </comment>
    <comment ref="AQ66" authorId="0">
      <text>
        <r>
          <rPr>
            <b/>
            <sz val="9"/>
            <color indexed="81"/>
            <rFont val="Tahoma"/>
            <family val="2"/>
          </rPr>
          <t>Author:</t>
        </r>
        <r>
          <rPr>
            <sz val="9"/>
            <color indexed="81"/>
            <rFont val="Tahoma"/>
            <family val="2"/>
          </rPr>
          <t xml:space="preserve">
C&amp;I</t>
        </r>
      </text>
    </comment>
    <comment ref="AQ112" authorId="0">
      <text>
        <r>
          <rPr>
            <b/>
            <sz val="9"/>
            <color indexed="81"/>
            <rFont val="Tahoma"/>
            <family val="2"/>
          </rPr>
          <t>Author:</t>
        </r>
        <r>
          <rPr>
            <sz val="9"/>
            <color indexed="81"/>
            <rFont val="Tahoma"/>
            <family val="2"/>
          </rPr>
          <t xml:space="preserve">
MSW</t>
        </r>
      </text>
    </comment>
    <comment ref="AQ113" authorId="0">
      <text>
        <r>
          <rPr>
            <b/>
            <sz val="9"/>
            <color indexed="81"/>
            <rFont val="Tahoma"/>
            <family val="2"/>
          </rPr>
          <t>Author:</t>
        </r>
        <r>
          <rPr>
            <sz val="9"/>
            <color indexed="81"/>
            <rFont val="Tahoma"/>
            <family val="2"/>
          </rPr>
          <t xml:space="preserve">
C&amp;I</t>
        </r>
      </text>
    </comment>
    <comment ref="AQ159" authorId="0">
      <text>
        <r>
          <rPr>
            <b/>
            <sz val="9"/>
            <color indexed="81"/>
            <rFont val="Tahoma"/>
            <family val="2"/>
          </rPr>
          <t>Author:</t>
        </r>
        <r>
          <rPr>
            <sz val="9"/>
            <color indexed="81"/>
            <rFont val="Tahoma"/>
            <family val="2"/>
          </rPr>
          <t xml:space="preserve">
MSW</t>
        </r>
      </text>
    </comment>
    <comment ref="AQ160" authorId="0">
      <text>
        <r>
          <rPr>
            <b/>
            <sz val="9"/>
            <color indexed="81"/>
            <rFont val="Tahoma"/>
            <family val="2"/>
          </rPr>
          <t>Author:</t>
        </r>
        <r>
          <rPr>
            <sz val="9"/>
            <color indexed="81"/>
            <rFont val="Tahoma"/>
            <family val="2"/>
          </rPr>
          <t xml:space="preserve">
C&amp;I</t>
        </r>
      </text>
    </comment>
  </commentList>
</comments>
</file>

<file path=xl/comments3.xml><?xml version="1.0" encoding="utf-8"?>
<comments xmlns="http://schemas.openxmlformats.org/spreadsheetml/2006/main">
  <authors>
    <author>Author</author>
  </authors>
  <commentList>
    <comment ref="W37" authorId="0">
      <text>
        <r>
          <rPr>
            <b/>
            <sz val="9"/>
            <color indexed="81"/>
            <rFont val="Tahoma"/>
            <family val="2"/>
          </rPr>
          <t>Author:</t>
        </r>
        <r>
          <rPr>
            <sz val="9"/>
            <color indexed="81"/>
            <rFont val="Tahoma"/>
            <family val="2"/>
          </rPr>
          <t xml:space="preserve">
APC data provided but omitted in favour of PACIA data</t>
        </r>
      </text>
    </comment>
    <comment ref="W84" authorId="0">
      <text>
        <r>
          <rPr>
            <b/>
            <sz val="9"/>
            <color indexed="81"/>
            <rFont val="Tahoma"/>
            <family val="2"/>
          </rPr>
          <t>Author:</t>
        </r>
        <r>
          <rPr>
            <sz val="9"/>
            <color indexed="81"/>
            <rFont val="Tahoma"/>
            <family val="2"/>
          </rPr>
          <t xml:space="preserve">
APC data provided but omitted in favour of PACIA data</t>
        </r>
      </text>
    </comment>
    <comment ref="W131" authorId="0">
      <text>
        <r>
          <rPr>
            <b/>
            <sz val="9"/>
            <color indexed="81"/>
            <rFont val="Tahoma"/>
            <family val="2"/>
          </rPr>
          <t>Author:</t>
        </r>
        <r>
          <rPr>
            <sz val="9"/>
            <color indexed="81"/>
            <rFont val="Tahoma"/>
            <family val="2"/>
          </rPr>
          <t xml:space="preserve">
APC data provided but omitted in favour of PACIA data</t>
        </r>
      </text>
    </comment>
    <comment ref="W178" authorId="0">
      <text>
        <r>
          <rPr>
            <b/>
            <sz val="9"/>
            <color indexed="81"/>
            <rFont val="Tahoma"/>
            <family val="2"/>
          </rPr>
          <t>Author:</t>
        </r>
        <r>
          <rPr>
            <sz val="9"/>
            <color indexed="81"/>
            <rFont val="Tahoma"/>
            <family val="2"/>
          </rPr>
          <t xml:space="preserve">
APC data provided but omitted in favour of PACIA data</t>
        </r>
      </text>
    </comment>
  </commentList>
</comments>
</file>

<file path=xl/sharedStrings.xml><?xml version="1.0" encoding="utf-8"?>
<sst xmlns="http://schemas.openxmlformats.org/spreadsheetml/2006/main" count="4358" uniqueCount="279">
  <si>
    <t>Biosolids</t>
  </si>
  <si>
    <t>Fly ash</t>
  </si>
  <si>
    <t>Organics</t>
  </si>
  <si>
    <t>Masonry materials</t>
  </si>
  <si>
    <t>Metals</t>
  </si>
  <si>
    <t>Paper &amp; cardboard</t>
  </si>
  <si>
    <t>Plastics</t>
  </si>
  <si>
    <t>Other</t>
  </si>
  <si>
    <t>Glass</t>
  </si>
  <si>
    <t>Leather &amp; textiles</t>
  </si>
  <si>
    <t>Tyres &amp; other rubber</t>
  </si>
  <si>
    <t>Hazardous</t>
  </si>
  <si>
    <t>Quarantine</t>
  </si>
  <si>
    <t>Contaminated soil</t>
  </si>
  <si>
    <t>Industrial waste</t>
  </si>
  <si>
    <t>Asbestos</t>
  </si>
  <si>
    <t>Asphalt</t>
  </si>
  <si>
    <t>Bricks</t>
  </si>
  <si>
    <t>Concrete</t>
  </si>
  <si>
    <t>Steel</t>
  </si>
  <si>
    <t>Aluminium</t>
  </si>
  <si>
    <t>Non-ferrous metals (ex. aluminium)</t>
  </si>
  <si>
    <t>Food organics</t>
  </si>
  <si>
    <t>Garden organics</t>
  </si>
  <si>
    <t>Timber</t>
  </si>
  <si>
    <t>Other organics</t>
  </si>
  <si>
    <t>Cardboard</t>
  </si>
  <si>
    <t>Liquid paperboard (LPB)</t>
  </si>
  <si>
    <t>Newsprint and magazines</t>
  </si>
  <si>
    <t>Office paper</t>
  </si>
  <si>
    <t>Polyethylene terephthalate (PET)</t>
  </si>
  <si>
    <t>High density polyethylene (HDPE)</t>
  </si>
  <si>
    <t>Polyvinyl chloride (PVC)</t>
  </si>
  <si>
    <t>Low density polyethylene (LDPE)</t>
  </si>
  <si>
    <t>Polypropylene (PP)</t>
  </si>
  <si>
    <t>Polystyrene (PS)</t>
  </si>
  <si>
    <t>Other plastics</t>
  </si>
  <si>
    <t>Reported separately</t>
  </si>
  <si>
    <t xml:space="preserve">Other materials reported by jurisdiction </t>
  </si>
  <si>
    <t>DATA OUTPUTS</t>
  </si>
  <si>
    <t>Total</t>
  </si>
  <si>
    <t>INTERIM CALCULATIONS</t>
  </si>
  <si>
    <t>Plastics codes 1-3</t>
  </si>
  <si>
    <t>Plastics codes 4-7</t>
  </si>
  <si>
    <t>MSW</t>
  </si>
  <si>
    <t>C&amp;I</t>
  </si>
  <si>
    <t>C&amp;D</t>
  </si>
  <si>
    <t>t C dissimilated</t>
  </si>
  <si>
    <t>Details, explanations &amp; assumptions</t>
  </si>
  <si>
    <t>Energy recovery from landfill</t>
  </si>
  <si>
    <t>Interim calculation - composition prior to landfill energy recovery (tonnes)</t>
  </si>
  <si>
    <t>The proportion of waste that is not categorised has been omitted</t>
  </si>
  <si>
    <t>Various liquid wastes also recovered</t>
  </si>
  <si>
    <t>DATA INPUTS</t>
  </si>
  <si>
    <t>Data is textiles only</t>
  </si>
  <si>
    <t>Disposal to landfill (tonnes)</t>
  </si>
  <si>
    <t>% of dissimilated C</t>
  </si>
  <si>
    <t>t MSW recovered</t>
  </si>
  <si>
    <t>t C&amp;I recovered</t>
  </si>
  <si>
    <t>t C&amp;D recovered</t>
  </si>
  <si>
    <t>Energy recovery from waste (tonnes)</t>
  </si>
  <si>
    <t>Jurisdiction raw data (tonnes)</t>
  </si>
  <si>
    <t xml:space="preserve">kg per capita </t>
  </si>
  <si>
    <t>Other data inputs (tonnes)</t>
  </si>
  <si>
    <t>2010/11</t>
  </si>
  <si>
    <t>TOTALS INCLUDING FLY ASH</t>
  </si>
  <si>
    <t>Recycling (tonnes)</t>
  </si>
  <si>
    <t>Sub-total</t>
  </si>
  <si>
    <t>Recycling</t>
  </si>
  <si>
    <t>Energy recovery</t>
  </si>
  <si>
    <t>2010/11 excl. fly ash</t>
  </si>
  <si>
    <t>2010/11 incl. fly ash</t>
  </si>
  <si>
    <t>Disposal</t>
  </si>
  <si>
    <t>Recovery rate</t>
  </si>
  <si>
    <t>t/capita</t>
  </si>
  <si>
    <t xml:space="preserve">Energy recovery data </t>
  </si>
  <si>
    <t xml:space="preserve">Recycling data </t>
  </si>
  <si>
    <t>Disposal data</t>
  </si>
  <si>
    <t>Generation</t>
  </si>
  <si>
    <t>Kt</t>
  </si>
  <si>
    <t>All</t>
  </si>
  <si>
    <t>2009/10</t>
  </si>
  <si>
    <t>2008/09</t>
  </si>
  <si>
    <t>2006/07</t>
  </si>
  <si>
    <t>Assumed to be C&amp;D</t>
  </si>
  <si>
    <t>Assumed to be C&amp;I</t>
  </si>
  <si>
    <t>Excl. fly ash</t>
  </si>
  <si>
    <t>Incl. fly ash</t>
  </si>
  <si>
    <t>Other materials reported by jurisdiction</t>
  </si>
  <si>
    <t>t material recovered</t>
  </si>
  <si>
    <t>Red mud</t>
  </si>
  <si>
    <t>C&amp;I recycled tonnes unavailable. Assumed = av. of 11/12 &amp; 09/10</t>
  </si>
  <si>
    <t>TOTAL</t>
  </si>
  <si>
    <t>Figures include sales from tip shops</t>
  </si>
  <si>
    <t>Data from waste tracking system</t>
  </si>
  <si>
    <t>Data from Qld waste data</t>
  </si>
  <si>
    <t>Data from controlled waste tracking system</t>
  </si>
  <si>
    <t>Spadable controlled waste that is suitable for acceptance at a Class I, II or III landfill (inert and putrescible landfill) is not tracked in WA. This includes quarantine waste, contaminated soil and asbestos.</t>
  </si>
  <si>
    <t>Split into MSW &amp; C&amp;I = that of Victoria</t>
  </si>
  <si>
    <t>Jurisdiction data (tonnes) - EXTRAPOLATED FROM DARWIN</t>
  </si>
  <si>
    <t>06/07</t>
  </si>
  <si>
    <t>08/09</t>
  </si>
  <si>
    <t>09/10</t>
  </si>
  <si>
    <t>10/11</t>
  </si>
  <si>
    <t>07/08</t>
  </si>
  <si>
    <t>10/11 charts</t>
  </si>
  <si>
    <t>Trend charts</t>
  </si>
  <si>
    <t>Interpolated</t>
  </si>
  <si>
    <t>kt</t>
  </si>
  <si>
    <t>t per capita excl. fly ash</t>
  </si>
  <si>
    <t>For consistency with other years, this datum is used instead of 2.5kt figure provided by ACT. It is assumed to be additional.</t>
  </si>
  <si>
    <t>Datum used instead of much smaller figure included with ACT other category. Assumed to be additional.</t>
  </si>
  <si>
    <t>Stream chart not available</t>
  </si>
  <si>
    <t>ACT does not know recovery by stream</t>
  </si>
  <si>
    <t>Jurisdictional data used</t>
  </si>
  <si>
    <t>Jurisdictional used - total v. close to PACIA data</t>
  </si>
  <si>
    <t>Jurisdictional hazwaste total data not used</t>
  </si>
  <si>
    <t>PACIA data used as they are higher</t>
  </si>
  <si>
    <t>ACT</t>
  </si>
  <si>
    <t>NSW</t>
  </si>
  <si>
    <t>NT</t>
  </si>
  <si>
    <t>Qld</t>
  </si>
  <si>
    <t>SA</t>
  </si>
  <si>
    <t>Tas</t>
  </si>
  <si>
    <t>Vic</t>
  </si>
  <si>
    <t>WA</t>
  </si>
  <si>
    <t>2010/11, excluding fly ash</t>
  </si>
  <si>
    <t>Thousands of tonnes</t>
  </si>
  <si>
    <t>Tonnes per capita</t>
  </si>
  <si>
    <t>data not available</t>
  </si>
  <si>
    <t>2009/10, excluding fly ash</t>
  </si>
  <si>
    <t>2008/09, excluding fly ash</t>
  </si>
  <si>
    <t>2006/07, excluding fly ash</t>
  </si>
  <si>
    <t>2007/08</t>
  </si>
  <si>
    <t xml:space="preserve"> = derived by averaging</t>
  </si>
  <si>
    <t>NT is excluded</t>
  </si>
  <si>
    <t>Australia 2010/11, management by material (kt)</t>
  </si>
  <si>
    <t>Generation check:</t>
  </si>
  <si>
    <t>Recycling check:</t>
  </si>
  <si>
    <t>Problem is that recycling split by stream is unavailable</t>
  </si>
  <si>
    <t>Australia 2010/11, management by stream (kt), excluding ACT</t>
  </si>
  <si>
    <t>Time series of per capita waste generated by jurisdiction, excluding fly ash (tonnes per capita)</t>
  </si>
  <si>
    <t>Australia, waste management time series (Mt)</t>
  </si>
  <si>
    <t>Australia, waste management time series (t/capita)</t>
  </si>
  <si>
    <t>Interim calcs incorporating: population-based backwards extrapolation for NT (06/07 - 09/10) and Qld (06/07); and interpolation for NSW (09/10)</t>
  </si>
  <si>
    <t>Relies on: population-based backwards extrapolation for NT (06/07 - 09/10) and Qld (06/07); and interpolation for all jurisdictions (07/08) and NSW (09/10).</t>
  </si>
  <si>
    <t>Excluding fly ash</t>
  </si>
  <si>
    <t>2010/11, including fly ash</t>
  </si>
  <si>
    <t>Millions of tonnes</t>
  </si>
  <si>
    <t>Tonnges of waste to AWT compared to landfill</t>
  </si>
  <si>
    <t>Percentage of waste generation processed via AWT</t>
  </si>
  <si>
    <t>Tonnage waste generation processed via AWT</t>
  </si>
  <si>
    <t>State</t>
  </si>
  <si>
    <t>Population in urban and inner regional areas</t>
  </si>
  <si>
    <t>Percentage increase in population from 2006 - 2012</t>
  </si>
  <si>
    <t xml:space="preserve">Australia </t>
  </si>
  <si>
    <t>Vic (6%)</t>
  </si>
  <si>
    <t>SA (4%)</t>
  </si>
  <si>
    <t>Qld (7%)</t>
  </si>
  <si>
    <t>NT (8%)</t>
  </si>
  <si>
    <t>NSW (5%)</t>
  </si>
  <si>
    <t>Population trend data</t>
  </si>
  <si>
    <t>GSP per T of waste generation</t>
  </si>
  <si>
    <t>Waste generation in 2010/11 T</t>
  </si>
  <si>
    <t>Waste generation in 2010/11 KT</t>
  </si>
  <si>
    <t>GSP by waste generation data</t>
  </si>
  <si>
    <t>Percentage increase in GSP from 2006 - 2012</t>
  </si>
  <si>
    <t>2011/12</t>
  </si>
  <si>
    <t>2005/06</t>
  </si>
  <si>
    <t>GSP trend data</t>
  </si>
  <si>
    <t>Income per capita</t>
  </si>
  <si>
    <t>Number people per HH</t>
  </si>
  <si>
    <t>Income per HH per year</t>
  </si>
  <si>
    <t>Income per HH data (not used at this stage may be of use if we converted per HH to per capita)</t>
  </si>
  <si>
    <t>Inquiries to Joe Pickin 0403 562 621 or Paul Randell 0429 501 717</t>
  </si>
  <si>
    <t xml:space="preserve">The data are summarised and presented in various summary tables and charts that are exported to the report. </t>
  </si>
  <si>
    <t xml:space="preserve">Each tab contains estimates of the tonnes of waste in various categories and types sent to landfill, recycling or energy recovery in a particular jurisdiction. </t>
  </si>
  <si>
    <t>Data are given, where available, for 2006/07, 2007/08, 2009/10, 2010/11 and 2011/12.</t>
  </si>
  <si>
    <t>It was prepared by Blue Environment and Randell Environmental Consulting for the Department of Sustainability, Environment, Water, Population and Communities.</t>
  </si>
  <si>
    <t>Disclaimer</t>
  </si>
  <si>
    <t>PACIA data unavailable for this year</t>
  </si>
  <si>
    <t>11/12</t>
  </si>
  <si>
    <t>Rubble (incl. non-haz. foundry sands)</t>
  </si>
  <si>
    <t>Plasterboard &amp; cement sheeting</t>
  </si>
  <si>
    <t xml:space="preserve">CATEGORIES 
</t>
  </si>
  <si>
    <t xml:space="preserve">TYPES 
</t>
  </si>
  <si>
    <t>Contextual analysis, Australia</t>
  </si>
  <si>
    <t>2011/12 excl. fly ash</t>
  </si>
  <si>
    <t>2011/12 incl. fly ash</t>
  </si>
  <si>
    <t>2009/10 Excl. fly ash</t>
  </si>
  <si>
    <t>2008/09 Excl. fly ash</t>
  </si>
  <si>
    <t>Waste generation</t>
  </si>
  <si>
    <t>% change over periods</t>
  </si>
  <si>
    <t>Subsumed into the broader total organics data</t>
  </si>
  <si>
    <t>Jurisdictional used - higher than Biosolids Partnership datum</t>
  </si>
  <si>
    <t>Jurisdictional total assumed to be low (less than APC + PACIA)</t>
  </si>
  <si>
    <t>Jurisdictional data exclude biosolids, so Biosolids Partnership data added to total</t>
  </si>
  <si>
    <t>Jurisdictional data exclude plastics, so PACIA data added to total</t>
  </si>
  <si>
    <t>ROU data used to subtract out-of-scope materials from estimate derived from jurisdictional data</t>
  </si>
  <si>
    <t>Combined per capita incomes and metropolitan or inner regional population base</t>
  </si>
  <si>
    <t>Diff inc. fly ash</t>
  </si>
  <si>
    <t>EXCLUDE ACT - NO SOURCE FOR RECYCLING</t>
  </si>
  <si>
    <t>C&amp;I
NSW</t>
  </si>
  <si>
    <t>C&amp;I
NT</t>
  </si>
  <si>
    <t>C&amp;I
Qld</t>
  </si>
  <si>
    <t>C&amp;I
SA</t>
  </si>
  <si>
    <t>C&amp;I
Tas</t>
  </si>
  <si>
    <t>C&amp;I
Vic</t>
  </si>
  <si>
    <t>C&amp;I
WA</t>
  </si>
  <si>
    <t>t/cap</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</si>
  <si>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</si>
  <si>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</si>
  <si>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</si>
  <si>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</si>
  <si>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</si>
  <si>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</si>
  <si>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</si>
  <si>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</si>
  <si>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</si>
  <si>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</si>
  <si>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</si>
  <si>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</si>
  <si>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</si>
  <si>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</si>
  <si>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</si>
  <si>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</si>
  <si>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</si>
  <si>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</si>
  <si>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</si>
  <si>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</si>
  <si>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</si>
  <si>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</si>
  <si>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</si>
  <si>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</si>
  <si>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X Variable 2</t>
  </si>
  <si>
    <t>REGRESSION ANALYSES</t>
  </si>
  <si>
    <t>1.  t/cap vs % population in metro / inner regional areas</t>
  </si>
  <si>
    <t>2.  t/cap vs income per capita</t>
  </si>
  <si>
    <t>3.  t/cap vs % population in metro / inner regional areas and income per capita</t>
  </si>
  <si>
    <t>4.  t/cap vs ( % population in metro / inner regional areas x income per capita)</t>
  </si>
  <si>
    <t>Resource recovery</t>
  </si>
  <si>
    <t>Australia 2010/11, management by stream (Mt), excluding ACT</t>
  </si>
  <si>
    <t>Australia</t>
  </si>
  <si>
    <t>Resource recovery rate</t>
  </si>
  <si>
    <t>Check:</t>
  </si>
  <si>
    <r>
      <t xml:space="preserve">Introduction to the </t>
    </r>
    <r>
      <rPr>
        <b/>
        <i/>
        <sz val="16"/>
        <color theme="0"/>
        <rFont val="Calibri"/>
        <family val="2"/>
        <scheme val="minor"/>
      </rPr>
      <t>Waste Generation and Resource Recovery in Australia</t>
    </r>
    <r>
      <rPr>
        <b/>
        <sz val="16"/>
        <color theme="0"/>
        <rFont val="Calibri"/>
        <family val="2"/>
        <scheme val="minor"/>
      </rPr>
      <t xml:space="preserve"> data workbook</t>
    </r>
  </si>
  <si>
    <t>This workbook draws upon the WGRRA database, which contains the raw data and the manipulations and assumptions undertaken to populate this workbook.</t>
  </si>
  <si>
    <t>WGRRA data - ACT</t>
  </si>
  <si>
    <t>WGRRA data - New South Wales</t>
  </si>
  <si>
    <t>WGRRA data - Northern Territory</t>
  </si>
  <si>
    <t>WGRRA data - Queensland</t>
  </si>
  <si>
    <t>WGRRA data - South Australia</t>
  </si>
  <si>
    <t>WGRRA data - Tasmania</t>
  </si>
  <si>
    <t>WGRRA data - Victoria</t>
  </si>
  <si>
    <t>WGRRA data - Western Australia</t>
  </si>
  <si>
    <t>WGRRA data - Australia</t>
  </si>
  <si>
    <r>
      <t xml:space="preserve">This workbook contains the jurisdictional and national data sets used in </t>
    </r>
    <r>
      <rPr>
        <i/>
        <sz val="11"/>
        <color theme="1"/>
        <rFont val="Calibri"/>
        <family val="2"/>
        <scheme val="minor"/>
      </rPr>
      <t>Waste Generation and Resource Recovery in Australia</t>
    </r>
    <r>
      <rPr>
        <sz val="11"/>
        <color theme="1"/>
        <rFont val="Calibri"/>
        <family val="2"/>
        <scheme val="minor"/>
      </rPr>
      <t xml:space="preserve"> (WGRRA), 2010/11 reporting period.</t>
    </r>
  </si>
  <si>
    <r>
      <t xml:space="preserve">This database was prepared by the authors in accordance with the terms and conditions of our appointment in relation to </t>
    </r>
    <r>
      <rPr>
        <i/>
        <sz val="9"/>
        <color theme="1"/>
        <rFont val="Calibri"/>
        <family val="2"/>
        <scheme val="minor"/>
      </rPr>
      <t xml:space="preserve">Waste Generation and Resource Recovery in Australia </t>
    </r>
    <r>
      <rPr>
        <sz val="9"/>
        <color theme="1"/>
        <rFont val="Calibri"/>
        <family val="2"/>
        <scheme val="minor"/>
      </rPr>
      <t xml:space="preserve">in order to support the development of that report, and within constraints of time and budget. It contains data and information obtained from a range of sources, which have not necessarily been verified by the authors due to scope and capacity limitations. While all professional care has been undertaken in its preparation, neither Blue Environment Pty Ltd, Randell Environmental Consulting nor the Department of Sustainability, Environment, Water, Population and Communities can accept any responsibility for any inaccuracies or omissions, nor for the consequences of use of or reliance on the contents by any third party. </t>
    </r>
  </si>
  <si>
    <t>CAGR (%)</t>
  </si>
  <si>
    <t xml:space="preserve"> </t>
  </si>
  <si>
    <t>Compound Annual Growth Rate (CAGR) (%)</t>
  </si>
  <si>
    <t>CAGR %</t>
  </si>
  <si>
    <t xml:space="preserve">% change over 4 yrs </t>
  </si>
  <si>
    <t xml:space="preserve">Per capita percentage change over 4 years </t>
  </si>
  <si>
    <t>Tas (6%)</t>
  </si>
  <si>
    <t>Australia (14%)</t>
  </si>
  <si>
    <t>ACT (8%)</t>
  </si>
  <si>
    <t>Tas (4%)</t>
  </si>
  <si>
    <t>WA (11%)</t>
  </si>
  <si>
    <t>QLD chage in GSP 0809 to 1112</t>
  </si>
  <si>
    <t>ACT (14%)</t>
  </si>
  <si>
    <t>NSW (9%)</t>
  </si>
  <si>
    <t>NT (15%)</t>
  </si>
  <si>
    <t>Qld (8%)</t>
  </si>
  <si>
    <t>SA (11%)</t>
  </si>
  <si>
    <t>Vic (9%)</t>
  </si>
  <si>
    <t>WA (17%)</t>
  </si>
  <si>
    <t>Billions of dollars GSP</t>
  </si>
  <si>
    <t>Version 3.4, February 2014</t>
  </si>
</sst>
</file>

<file path=xl/styles.xml><?xml version="1.0" encoding="utf-8"?>
<styleSheet xmlns="http://schemas.openxmlformats.org/spreadsheetml/2006/main">
  <numFmts count="16">
    <numFmt numFmtId="6" formatCode="&quot;$&quot;#,##0;[Red]\-&quot;$&quot;#,##0"/>
    <numFmt numFmtId="8" formatCode="&quot;$&quot;#,##0.00;[Red]\-&quot;$&quot;#,##0.00"/>
    <numFmt numFmtId="44" formatCode="_-&quot;$&quot;* #,##0.00_-;\-&quot;$&quot;* #,##0.00_-;_-&quot;$&quot;* &quot;-&quot;??_-;_-@_-"/>
    <numFmt numFmtId="43" formatCode="_-* #,##0.00_-;\-* #,##0.00_-;_-* &quot;-&quot;??_-;_-@_-"/>
    <numFmt numFmtId="164" formatCode="_-* #,##0_-;\-* #,##0_-;_-* &quot;-&quot;??_-;_-@_-"/>
    <numFmt numFmtId="165" formatCode="#,##0.0"/>
    <numFmt numFmtId="166" formatCode="0.0"/>
    <numFmt numFmtId="167" formatCode="_-&quot;$&quot;* #,##0_-;\-&quot;$&quot;* #,##0_-;_-&quot;$&quot;* &quot;-&quot;??_-;_-@_-"/>
    <numFmt numFmtId="168" formatCode="#,##0.0_ ;[Red]\-#,##0.0\ "/>
    <numFmt numFmtId="169" formatCode="_ * #,##0.00_ ;_ * \-#,##0.00_ ;_ * &quot;-&quot;??_ ;_ @_ "/>
    <numFmt numFmtId="170" formatCode="#,##0.0000"/>
    <numFmt numFmtId="171" formatCode="#,##0.000"/>
    <numFmt numFmtId="172" formatCode="0.0%"/>
    <numFmt numFmtId="173" formatCode="_-* #,##0.0_-;\-* #,##0.0_-;_-* &quot;-&quot;??_-;_-@_-"/>
    <numFmt numFmtId="174" formatCode="#,##0.00000000"/>
    <numFmt numFmtId="175" formatCode="_-* #,##0.0000_-;\-* #,##0.0000_-;_-* &quot;-&quot;??_-;_-@_-"/>
  </numFmts>
  <fonts count="49">
    <font>
      <sz val="11"/>
      <color theme="1"/>
      <name val="Calibri"/>
      <family val="2"/>
      <scheme val="minor"/>
    </font>
    <font>
      <sz val="11"/>
      <color theme="1"/>
      <name val="Calibri"/>
      <family val="2"/>
      <scheme val="minor"/>
    </font>
    <font>
      <sz val="10"/>
      <name val="Arial"/>
      <family val="2"/>
    </font>
    <font>
      <b/>
      <sz val="10"/>
      <name val="Calibri"/>
      <family val="2"/>
      <scheme val="minor"/>
    </font>
    <font>
      <sz val="10"/>
      <name val="Calibri"/>
      <family val="2"/>
      <scheme val="minor"/>
    </font>
    <font>
      <sz val="10"/>
      <name val="Arial"/>
      <family val="2"/>
    </font>
    <font>
      <sz val="10"/>
      <color theme="1"/>
      <name val="Calibri"/>
      <family val="2"/>
      <scheme val="minor"/>
    </font>
    <font>
      <u/>
      <sz val="11"/>
      <color theme="10"/>
      <name val="Calibri"/>
      <family val="2"/>
      <scheme val="minor"/>
    </font>
    <font>
      <u/>
      <sz val="10"/>
      <color theme="10"/>
      <name val="Calibri"/>
      <family val="2"/>
      <scheme val="minor"/>
    </font>
    <font>
      <b/>
      <sz val="16"/>
      <color theme="0"/>
      <name val="Calibri"/>
      <family val="2"/>
      <scheme val="minor"/>
    </font>
    <font>
      <u/>
      <sz val="7.7"/>
      <color rgb="FF0000FF"/>
      <name val="Calibri"/>
      <family val="2"/>
    </font>
    <font>
      <sz val="10"/>
      <color rgb="FFFF0000"/>
      <name val="Calibri"/>
      <family val="2"/>
      <scheme val="minor"/>
    </font>
    <font>
      <sz val="14"/>
      <name val="Calibri"/>
      <family val="2"/>
      <scheme val="minor"/>
    </font>
    <font>
      <sz val="10"/>
      <color theme="0" tint="-0.499984740745262"/>
      <name val="Calibri"/>
      <family val="2"/>
      <scheme val="minor"/>
    </font>
    <font>
      <b/>
      <sz val="10"/>
      <color theme="5" tint="0.39997558519241921"/>
      <name val="Calibri"/>
      <family val="2"/>
      <scheme val="minor"/>
    </font>
    <font>
      <b/>
      <sz val="10"/>
      <color theme="5" tint="-0.249977111117893"/>
      <name val="Calibri"/>
      <family val="2"/>
      <scheme val="minor"/>
    </font>
    <font>
      <b/>
      <u/>
      <sz val="10"/>
      <color theme="5" tint="-0.249977111117893"/>
      <name val="Calibri"/>
      <family val="2"/>
      <scheme val="minor"/>
    </font>
    <font>
      <sz val="10"/>
      <color rgb="FF0000FF"/>
      <name val="Calibri"/>
      <family val="2"/>
      <scheme val="minor"/>
    </font>
    <font>
      <b/>
      <sz val="14"/>
      <name val="Calibri"/>
      <family val="2"/>
      <scheme val="minor"/>
    </font>
    <font>
      <b/>
      <sz val="14"/>
      <color theme="0"/>
      <name val="Calibri"/>
      <family val="2"/>
      <scheme val="minor"/>
    </font>
    <font>
      <sz val="10"/>
      <color theme="5" tint="0.39997558519241921"/>
      <name val="Calibri"/>
      <family val="2"/>
      <scheme val="minor"/>
    </font>
    <font>
      <i/>
      <sz val="10"/>
      <color theme="0" tint="-0.499984740745262"/>
      <name val="Calibri"/>
      <family val="2"/>
      <scheme val="minor"/>
    </font>
    <font>
      <sz val="10"/>
      <color theme="9" tint="-0.249977111117893"/>
      <name val="Calibri"/>
      <family val="2"/>
      <scheme val="minor"/>
    </font>
    <font>
      <b/>
      <sz val="10"/>
      <color theme="0"/>
      <name val="Calibri"/>
      <family val="2"/>
      <scheme val="minor"/>
    </font>
    <font>
      <sz val="9"/>
      <color indexed="81"/>
      <name val="Tahoma"/>
      <family val="2"/>
    </font>
    <font>
      <b/>
      <sz val="9"/>
      <color indexed="81"/>
      <name val="Tahoma"/>
      <family val="2"/>
    </font>
    <font>
      <b/>
      <sz val="10"/>
      <color theme="1"/>
      <name val="Calibri"/>
      <family val="2"/>
      <scheme val="minor"/>
    </font>
    <font>
      <b/>
      <sz val="10"/>
      <color rgb="FFFF0000"/>
      <name val="Calibri"/>
      <family val="2"/>
      <scheme val="minor"/>
    </font>
    <font>
      <b/>
      <sz val="12"/>
      <name val="Calibri"/>
      <family val="2"/>
      <scheme val="minor"/>
    </font>
    <font>
      <b/>
      <sz val="11"/>
      <color theme="1"/>
      <name val="Calibri"/>
      <family val="2"/>
      <scheme val="minor"/>
    </font>
    <font>
      <sz val="14"/>
      <color rgb="FF0000FF"/>
      <name val="Arial Rounded MT Bold"/>
      <family val="2"/>
    </font>
    <font>
      <sz val="11"/>
      <color rgb="FF080808"/>
      <name val="Calibri"/>
      <family val="2"/>
      <scheme val="minor"/>
    </font>
    <font>
      <i/>
      <sz val="9"/>
      <color rgb="FF0D0D0D"/>
      <name val="Arial"/>
      <family val="2"/>
    </font>
    <font>
      <i/>
      <sz val="11"/>
      <color theme="1"/>
      <name val="Calibri"/>
      <family val="2"/>
      <scheme val="minor"/>
    </font>
    <font>
      <i/>
      <sz val="10"/>
      <color theme="0" tint="-0.249977111117893"/>
      <name val="Calibri"/>
      <family val="2"/>
      <scheme val="minor"/>
    </font>
    <font>
      <sz val="10"/>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i/>
      <sz val="11"/>
      <color theme="0" tint="-0.34998626667073579"/>
      <name val="Calibri"/>
      <family val="2"/>
      <scheme val="minor"/>
    </font>
    <font>
      <b/>
      <sz val="11"/>
      <color theme="0" tint="-0.249977111117893"/>
      <name val="Calibri"/>
      <family val="2"/>
      <scheme val="minor"/>
    </font>
    <font>
      <sz val="11"/>
      <color theme="0" tint="-0.249977111117893"/>
      <name val="Calibri"/>
      <family val="2"/>
      <scheme val="minor"/>
    </font>
    <font>
      <i/>
      <sz val="11"/>
      <color theme="0" tint="-0.249977111117893"/>
      <name val="Calibri"/>
      <family val="2"/>
      <scheme val="minor"/>
    </font>
    <font>
      <b/>
      <sz val="12"/>
      <color theme="1"/>
      <name val="Calibri"/>
      <family val="2"/>
      <scheme val="minor"/>
    </font>
    <font>
      <sz val="10"/>
      <color theme="1"/>
      <name val="Arial"/>
      <family val="2"/>
    </font>
    <font>
      <i/>
      <sz val="9"/>
      <color theme="1"/>
      <name val="Calibri"/>
      <family val="2"/>
      <scheme val="minor"/>
    </font>
    <font>
      <sz val="9"/>
      <color theme="1"/>
      <name val="Calibri"/>
      <family val="2"/>
      <scheme val="minor"/>
    </font>
    <font>
      <b/>
      <sz val="16"/>
      <name val="Calibri"/>
      <family val="2"/>
      <scheme val="minor"/>
    </font>
    <font>
      <i/>
      <sz val="11"/>
      <color theme="0" tint="-0.499984740745262"/>
      <name val="Calibri"/>
      <family val="2"/>
      <scheme val="minor"/>
    </font>
    <font>
      <b/>
      <i/>
      <sz val="16"/>
      <color theme="0"/>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249977111117893"/>
        <bgColor indexed="64"/>
      </patternFill>
    </fill>
    <fill>
      <patternFill patternType="solid">
        <fgColor theme="6" tint="0.59996337778862885"/>
        <bgColor indexed="64"/>
      </patternFill>
    </fill>
    <fill>
      <patternFill patternType="solid">
        <fgColor theme="6"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0.14999847407452621"/>
        <bgColor indexed="64"/>
      </patternFill>
    </fill>
  </fills>
  <borders count="55">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style="thin">
        <color auto="1"/>
      </top>
      <bottom/>
      <diagonal/>
    </border>
    <border>
      <left style="thin">
        <color indexed="64"/>
      </left>
      <right/>
      <top style="thin">
        <color auto="1"/>
      </top>
      <bottom/>
      <diagonal/>
    </border>
    <border>
      <left/>
      <right style="thin">
        <color indexed="64"/>
      </right>
      <top style="thin">
        <color auto="1"/>
      </top>
      <bottom/>
      <diagonal/>
    </border>
    <border>
      <left/>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top style="thin">
        <color theme="0" tint="-0.249977111117893"/>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medium">
        <color indexed="64"/>
      </top>
      <bottom style="thin">
        <color indexed="64"/>
      </bottom>
      <diagonal/>
    </border>
    <border>
      <left style="medium">
        <color indexed="64"/>
      </left>
      <right style="medium">
        <color indexed="64"/>
      </right>
      <top/>
      <bottom/>
      <diagonal/>
    </border>
    <border>
      <left style="thin">
        <color theme="1" tint="0.499984740745262"/>
      </left>
      <right/>
      <top style="thin">
        <color theme="1" tint="0.499984740745262"/>
      </top>
      <bottom/>
      <diagonal/>
    </border>
    <border>
      <left style="thin">
        <color theme="1" tint="0.499984740745262"/>
      </left>
      <right/>
      <top/>
      <bottom/>
      <diagonal/>
    </border>
    <border>
      <left/>
      <right/>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0" tint="-0.249977111117893"/>
      </top>
      <bottom/>
      <diagonal/>
    </border>
    <border>
      <left/>
      <right style="thin">
        <color theme="1" tint="0.499984740745262"/>
      </right>
      <top/>
      <bottom/>
      <diagonal/>
    </border>
    <border>
      <left/>
      <right style="thin">
        <color theme="1" tint="0.499984740745262"/>
      </right>
      <top style="thin">
        <color theme="0" tint="-0.249977111117893"/>
      </top>
      <bottom/>
      <diagonal/>
    </border>
  </borders>
  <cellStyleXfs count="15">
    <xf numFmtId="0" fontId="0" fillId="0" borderId="0"/>
    <xf numFmtId="43" fontId="1"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0" fontId="2" fillId="0" borderId="0"/>
    <xf numFmtId="0" fontId="5" fillId="0" borderId="0"/>
    <xf numFmtId="0" fontId="7" fillId="0" borderId="0" applyNumberFormat="0" applyFill="0" applyBorder="0" applyAlignment="0" applyProtection="0"/>
    <xf numFmtId="0" fontId="10" fillId="0" borderId="0" applyNumberFormat="0" applyFill="0" applyBorder="0" applyAlignment="0" applyProtection="0">
      <alignment vertical="top"/>
      <protection locked="0"/>
    </xf>
    <xf numFmtId="44" fontId="1" fillId="0" borderId="0" applyFont="0" applyFill="0" applyBorder="0" applyAlignment="0" applyProtection="0"/>
    <xf numFmtId="169" fontId="2" fillId="0" borderId="0" applyFont="0" applyFill="0" applyBorder="0" applyAlignment="0" applyProtection="0"/>
    <xf numFmtId="0" fontId="7" fillId="0" borderId="0" applyNumberFormat="0" applyFill="0" applyBorder="0" applyAlignment="0" applyProtection="0"/>
    <xf numFmtId="0" fontId="2" fillId="0" borderId="0"/>
    <xf numFmtId="0" fontId="1" fillId="0" borderId="0"/>
    <xf numFmtId="0" fontId="2" fillId="0" borderId="0"/>
  </cellStyleXfs>
  <cellXfs count="734">
    <xf numFmtId="0" fontId="0" fillId="0" borderId="0" xfId="0"/>
    <xf numFmtId="0" fontId="9" fillId="2" borderId="0" xfId="0" applyFont="1" applyFill="1" applyBorder="1"/>
    <xf numFmtId="0" fontId="4" fillId="0" borderId="0" xfId="5" applyFont="1" applyFill="1" applyBorder="1" applyAlignment="1">
      <alignment vertical="center" wrapText="1"/>
    </xf>
    <xf numFmtId="3" fontId="8" fillId="0" borderId="0" xfId="7" applyNumberFormat="1" applyFont="1" applyFill="1" applyBorder="1" applyAlignment="1">
      <alignment vertical="center" wrapText="1"/>
    </xf>
    <xf numFmtId="0" fontId="6" fillId="0" borderId="10" xfId="5" applyFont="1" applyFill="1" applyBorder="1" applyAlignment="1">
      <alignment horizontal="center" vertical="center" wrapText="1"/>
    </xf>
    <xf numFmtId="0" fontId="3" fillId="0" borderId="0" xfId="5" applyFont="1" applyFill="1" applyBorder="1" applyAlignment="1">
      <alignment vertical="center" wrapText="1"/>
    </xf>
    <xf numFmtId="0" fontId="4" fillId="4" borderId="0" xfId="0" applyFont="1" applyFill="1" applyBorder="1"/>
    <xf numFmtId="0" fontId="3" fillId="4" borderId="0" xfId="2" applyFont="1" applyFill="1" applyBorder="1" applyAlignment="1">
      <alignment horizontal="center" vertical="center" wrapText="1"/>
    </xf>
    <xf numFmtId="0" fontId="3" fillId="4" borderId="0" xfId="2" applyFont="1" applyFill="1" applyBorder="1" applyAlignment="1">
      <alignment vertical="center" wrapText="1"/>
    </xf>
    <xf numFmtId="0" fontId="4" fillId="4" borderId="1" xfId="2"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22"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4" fillId="4" borderId="0" xfId="2" applyFont="1" applyFill="1" applyBorder="1" applyAlignment="1">
      <alignment horizontal="center" vertical="center" wrapText="1"/>
    </xf>
    <xf numFmtId="0" fontId="4" fillId="4" borderId="24" xfId="2" applyFont="1" applyFill="1" applyBorder="1" applyAlignment="1">
      <alignment horizontal="center" vertical="center" wrapText="1"/>
    </xf>
    <xf numFmtId="0" fontId="4" fillId="4" borderId="0" xfId="2" applyFont="1" applyFill="1" applyBorder="1" applyAlignment="1">
      <alignment vertical="center" wrapText="1"/>
    </xf>
    <xf numFmtId="0" fontId="4" fillId="4" borderId="3" xfId="5" applyFont="1" applyFill="1" applyBorder="1" applyAlignment="1">
      <alignment vertical="center" wrapText="1"/>
    </xf>
    <xf numFmtId="0" fontId="4" fillId="4" borderId="0" xfId="5" applyFont="1" applyFill="1" applyBorder="1" applyAlignment="1">
      <alignment vertical="center"/>
    </xf>
    <xf numFmtId="0" fontId="4" fillId="4" borderId="12" xfId="5" applyFont="1" applyFill="1" applyBorder="1" applyAlignment="1">
      <alignment vertical="center" wrapText="1"/>
    </xf>
    <xf numFmtId="0" fontId="4" fillId="4" borderId="0" xfId="5" applyFont="1" applyFill="1" applyBorder="1" applyAlignment="1">
      <alignment vertical="center" wrapText="1"/>
    </xf>
    <xf numFmtId="3" fontId="4" fillId="4" borderId="13" xfId="5" applyNumberFormat="1" applyFont="1" applyFill="1" applyBorder="1" applyAlignment="1">
      <alignment vertical="center" wrapText="1"/>
    </xf>
    <xf numFmtId="3" fontId="4" fillId="4" borderId="0" xfId="5" applyNumberFormat="1" applyFont="1" applyFill="1" applyBorder="1" applyAlignment="1">
      <alignment vertical="center" wrapText="1"/>
    </xf>
    <xf numFmtId="3" fontId="4" fillId="4" borderId="23" xfId="5" applyNumberFormat="1" applyFont="1" applyFill="1" applyBorder="1" applyAlignment="1">
      <alignment vertical="center" wrapText="1"/>
    </xf>
    <xf numFmtId="0" fontId="4" fillId="4" borderId="13" xfId="5" applyFont="1" applyFill="1" applyBorder="1" applyAlignment="1">
      <alignment vertical="center" wrapText="1"/>
    </xf>
    <xf numFmtId="0" fontId="4" fillId="4" borderId="18" xfId="5" applyFont="1" applyFill="1" applyBorder="1" applyAlignment="1">
      <alignment vertical="center" wrapText="1"/>
    </xf>
    <xf numFmtId="3" fontId="4" fillId="4" borderId="26" xfId="5" applyNumberFormat="1" applyFont="1" applyFill="1" applyBorder="1" applyAlignment="1">
      <alignment vertical="center" wrapText="1"/>
    </xf>
    <xf numFmtId="3" fontId="4" fillId="4" borderId="12" xfId="5" applyNumberFormat="1" applyFont="1" applyFill="1" applyBorder="1" applyAlignment="1">
      <alignment vertical="center" wrapText="1"/>
    </xf>
    <xf numFmtId="3" fontId="4" fillId="4" borderId="15" xfId="5" applyNumberFormat="1" applyFont="1" applyFill="1" applyBorder="1" applyAlignment="1">
      <alignment vertical="center" wrapText="1"/>
    </xf>
    <xf numFmtId="0" fontId="4" fillId="4" borderId="15" xfId="5" applyFont="1" applyFill="1" applyBorder="1" applyAlignment="1">
      <alignment vertical="center" wrapText="1"/>
    </xf>
    <xf numFmtId="3" fontId="4" fillId="4" borderId="18" xfId="5" applyNumberFormat="1" applyFont="1" applyFill="1" applyBorder="1" applyAlignment="1">
      <alignment vertical="center" wrapText="1"/>
    </xf>
    <xf numFmtId="164" fontId="4" fillId="4" borderId="0" xfId="1" applyNumberFormat="1" applyFont="1" applyFill="1" applyBorder="1"/>
    <xf numFmtId="9" fontId="4" fillId="4" borderId="0" xfId="4" applyFont="1" applyFill="1" applyBorder="1"/>
    <xf numFmtId="10" fontId="4" fillId="4" borderId="0" xfId="4" applyNumberFormat="1" applyFont="1" applyFill="1" applyBorder="1"/>
    <xf numFmtId="1" fontId="3" fillId="4" borderId="18" xfId="5" applyNumberFormat="1" applyFont="1" applyFill="1" applyBorder="1" applyAlignment="1">
      <alignment vertical="center" wrapText="1"/>
    </xf>
    <xf numFmtId="1" fontId="4" fillId="4" borderId="18" xfId="5" applyNumberFormat="1" applyFont="1" applyFill="1" applyBorder="1" applyAlignment="1">
      <alignment vertical="center" wrapText="1"/>
    </xf>
    <xf numFmtId="9" fontId="4" fillId="4" borderId="0" xfId="5" applyNumberFormat="1" applyFont="1" applyFill="1" applyBorder="1" applyAlignment="1">
      <alignment vertical="center" wrapText="1"/>
    </xf>
    <xf numFmtId="164" fontId="4" fillId="4" borderId="0" xfId="1" applyNumberFormat="1" applyFont="1" applyFill="1" applyBorder="1" applyAlignment="1"/>
    <xf numFmtId="0" fontId="6" fillId="4" borderId="13" xfId="5" applyFont="1" applyFill="1" applyBorder="1" applyAlignment="1">
      <alignment vertical="center" wrapText="1"/>
    </xf>
    <xf numFmtId="0" fontId="4" fillId="4" borderId="11" xfId="5" applyFont="1" applyFill="1" applyBorder="1" applyAlignment="1">
      <alignment vertical="center" wrapText="1"/>
    </xf>
    <xf numFmtId="0" fontId="4" fillId="4" borderId="2" xfId="5" applyFont="1" applyFill="1" applyBorder="1" applyAlignment="1">
      <alignment vertical="center" wrapText="1"/>
    </xf>
    <xf numFmtId="3" fontId="4" fillId="4" borderId="17" xfId="5" applyNumberFormat="1" applyFont="1" applyFill="1" applyBorder="1" applyAlignment="1">
      <alignment vertical="center" wrapText="1"/>
    </xf>
    <xf numFmtId="3" fontId="13" fillId="4" borderId="8" xfId="5" applyNumberFormat="1" applyFont="1" applyFill="1" applyBorder="1" applyAlignment="1">
      <alignment vertical="center" wrapText="1"/>
    </xf>
    <xf numFmtId="3" fontId="13" fillId="4" borderId="4" xfId="5" applyNumberFormat="1" applyFont="1" applyFill="1" applyBorder="1" applyAlignment="1">
      <alignment vertical="center" wrapText="1"/>
    </xf>
    <xf numFmtId="0" fontId="4" fillId="4" borderId="10" xfId="5" applyFont="1" applyFill="1" applyBorder="1" applyAlignment="1">
      <alignment vertical="center" wrapText="1"/>
    </xf>
    <xf numFmtId="3" fontId="4" fillId="4" borderId="8" xfId="5" applyNumberFormat="1" applyFont="1" applyFill="1" applyBorder="1" applyAlignment="1">
      <alignment vertical="center" wrapText="1"/>
    </xf>
    <xf numFmtId="3" fontId="4" fillId="4" borderId="10" xfId="5" applyNumberFormat="1" applyFont="1" applyFill="1" applyBorder="1" applyAlignment="1">
      <alignment vertical="center" wrapText="1"/>
    </xf>
    <xf numFmtId="9" fontId="4" fillId="4" borderId="10" xfId="5" applyNumberFormat="1" applyFont="1" applyFill="1" applyBorder="1" applyAlignment="1">
      <alignment vertical="center" wrapText="1"/>
    </xf>
    <xf numFmtId="3" fontId="4" fillId="4" borderId="19" xfId="5" applyNumberFormat="1" applyFont="1" applyFill="1" applyBorder="1" applyAlignment="1">
      <alignment vertical="center" wrapText="1"/>
    </xf>
    <xf numFmtId="0" fontId="4" fillId="4" borderId="20" xfId="5" applyFont="1" applyFill="1" applyBorder="1" applyAlignment="1">
      <alignment vertical="center" wrapText="1"/>
    </xf>
    <xf numFmtId="3" fontId="4" fillId="4" borderId="16" xfId="5" applyNumberFormat="1" applyFont="1" applyFill="1" applyBorder="1" applyAlignment="1">
      <alignment vertical="center" wrapText="1"/>
    </xf>
    <xf numFmtId="1" fontId="4" fillId="4" borderId="9" xfId="5" applyNumberFormat="1" applyFont="1" applyFill="1" applyBorder="1" applyAlignment="1">
      <alignment vertical="center" wrapText="1"/>
    </xf>
    <xf numFmtId="3" fontId="4" fillId="4" borderId="26" xfId="0" applyNumberFormat="1" applyFont="1" applyFill="1" applyBorder="1"/>
    <xf numFmtId="3" fontId="4" fillId="4" borderId="0" xfId="0" applyNumberFormat="1" applyFont="1" applyFill="1" applyBorder="1"/>
    <xf numFmtId="3" fontId="4" fillId="4" borderId="23" xfId="0" applyNumberFormat="1" applyFont="1" applyFill="1" applyBorder="1"/>
    <xf numFmtId="4" fontId="4" fillId="4" borderId="23" xfId="0" applyNumberFormat="1" applyFont="1" applyFill="1" applyBorder="1"/>
    <xf numFmtId="0" fontId="4" fillId="0" borderId="3" xfId="5" applyFont="1" applyFill="1" applyBorder="1" applyAlignment="1">
      <alignment vertical="center" wrapText="1"/>
    </xf>
    <xf numFmtId="0" fontId="4" fillId="0" borderId="12" xfId="5" applyFont="1" applyFill="1" applyBorder="1" applyAlignment="1">
      <alignment vertical="center" wrapText="1"/>
    </xf>
    <xf numFmtId="0" fontId="4" fillId="0" borderId="13" xfId="5" applyFont="1" applyFill="1" applyBorder="1" applyAlignment="1">
      <alignment vertical="center" wrapText="1"/>
    </xf>
    <xf numFmtId="0" fontId="4" fillId="0" borderId="1" xfId="5" applyFont="1" applyFill="1" applyBorder="1" applyAlignment="1">
      <alignment vertical="center" wrapText="1"/>
    </xf>
    <xf numFmtId="0" fontId="4" fillId="0" borderId="11" xfId="5" applyFont="1" applyFill="1" applyBorder="1" applyAlignment="1">
      <alignment vertical="center" wrapText="1"/>
    </xf>
    <xf numFmtId="3" fontId="6" fillId="0" borderId="8" xfId="5" applyNumberFormat="1" applyFont="1" applyFill="1" applyBorder="1" applyAlignment="1">
      <alignment vertical="center" wrapText="1"/>
    </xf>
    <xf numFmtId="3" fontId="6" fillId="0" borderId="10" xfId="5" applyNumberFormat="1" applyFont="1" applyFill="1" applyBorder="1" applyAlignment="1">
      <alignment horizontal="center" vertical="center" wrapText="1"/>
    </xf>
    <xf numFmtId="0" fontId="6" fillId="0" borderId="10" xfId="5" applyFont="1" applyFill="1" applyBorder="1" applyAlignment="1">
      <alignment horizontal="center" vertical="center" wrapText="1"/>
    </xf>
    <xf numFmtId="0" fontId="4" fillId="0" borderId="23" xfId="5" applyFont="1" applyFill="1" applyBorder="1" applyAlignment="1">
      <alignment vertical="center" wrapText="1"/>
    </xf>
    <xf numFmtId="3" fontId="8" fillId="0" borderId="23" xfId="7" applyNumberFormat="1" applyFont="1" applyFill="1" applyBorder="1" applyAlignment="1">
      <alignment vertical="center" wrapText="1"/>
    </xf>
    <xf numFmtId="0" fontId="4" fillId="0" borderId="22" xfId="5" applyFont="1" applyFill="1" applyBorder="1" applyAlignment="1">
      <alignment vertical="center" wrapText="1"/>
    </xf>
    <xf numFmtId="3" fontId="6" fillId="0" borderId="20" xfId="5" applyNumberFormat="1" applyFont="1" applyFill="1" applyBorder="1" applyAlignment="1">
      <alignment horizontal="center" vertical="center" wrapText="1"/>
    </xf>
    <xf numFmtId="0" fontId="3" fillId="0" borderId="18" xfId="5" applyFont="1" applyFill="1" applyBorder="1" applyAlignment="1">
      <alignment vertical="center" wrapText="1"/>
    </xf>
    <xf numFmtId="0" fontId="4" fillId="0" borderId="18" xfId="5" applyFont="1" applyFill="1" applyBorder="1" applyAlignment="1">
      <alignment vertical="center" wrapText="1"/>
    </xf>
    <xf numFmtId="3" fontId="8" fillId="0" borderId="18" xfId="7" applyNumberFormat="1" applyFont="1" applyFill="1" applyBorder="1" applyAlignment="1">
      <alignment vertical="center" wrapText="1"/>
    </xf>
    <xf numFmtId="3" fontId="4" fillId="0" borderId="18" xfId="5" applyNumberFormat="1" applyFont="1" applyFill="1" applyBorder="1" applyAlignment="1">
      <alignment vertical="center" wrapText="1"/>
    </xf>
    <xf numFmtId="0" fontId="6" fillId="0" borderId="27" xfId="5" applyFont="1" applyFill="1" applyBorder="1" applyAlignment="1">
      <alignment horizontal="center" vertical="center" wrapText="1"/>
    </xf>
    <xf numFmtId="0" fontId="3" fillId="4" borderId="26" xfId="0" applyFont="1" applyFill="1" applyBorder="1" applyAlignment="1">
      <alignment horizontal="right"/>
    </xf>
    <xf numFmtId="0" fontId="3" fillId="4" borderId="23" xfId="0" applyFont="1" applyFill="1" applyBorder="1" applyAlignment="1">
      <alignment horizontal="right"/>
    </xf>
    <xf numFmtId="3" fontId="3" fillId="4" borderId="23" xfId="0" applyNumberFormat="1" applyFont="1" applyFill="1" applyBorder="1"/>
    <xf numFmtId="0" fontId="3" fillId="4" borderId="23" xfId="0" applyFont="1" applyFill="1" applyBorder="1" applyAlignment="1">
      <alignment horizontal="right" wrapText="1"/>
    </xf>
    <xf numFmtId="4" fontId="3" fillId="4" borderId="23" xfId="0" applyNumberFormat="1" applyFont="1" applyFill="1" applyBorder="1"/>
    <xf numFmtId="0" fontId="4" fillId="4" borderId="23" xfId="0" applyFont="1" applyFill="1" applyBorder="1" applyAlignment="1">
      <alignment horizontal="right"/>
    </xf>
    <xf numFmtId="0" fontId="4" fillId="4" borderId="29" xfId="0" applyFont="1" applyFill="1" applyBorder="1" applyAlignment="1">
      <alignment horizontal="right"/>
    </xf>
    <xf numFmtId="0" fontId="4" fillId="4" borderId="28" xfId="0" applyFont="1" applyFill="1" applyBorder="1" applyAlignment="1">
      <alignment horizontal="right"/>
    </xf>
    <xf numFmtId="0" fontId="4" fillId="4" borderId="30" xfId="0" applyFont="1" applyFill="1" applyBorder="1" applyAlignment="1">
      <alignment horizontal="right"/>
    </xf>
    <xf numFmtId="3" fontId="3" fillId="4" borderId="26" xfId="0" applyNumberFormat="1" applyFont="1" applyFill="1" applyBorder="1"/>
    <xf numFmtId="9" fontId="4" fillId="0" borderId="0" xfId="5" applyNumberFormat="1" applyFont="1" applyFill="1" applyBorder="1" applyAlignment="1">
      <alignment vertical="center" wrapText="1"/>
    </xf>
    <xf numFmtId="0" fontId="11" fillId="0" borderId="0" xfId="5" applyFont="1" applyFill="1" applyBorder="1" applyAlignment="1">
      <alignment vertical="center" wrapText="1"/>
    </xf>
    <xf numFmtId="3" fontId="4" fillId="0" borderId="15" xfId="5" applyNumberFormat="1" applyFont="1" applyFill="1" applyBorder="1" applyAlignment="1">
      <alignment vertical="center" wrapText="1"/>
    </xf>
    <xf numFmtId="3" fontId="4" fillId="0" borderId="27" xfId="5" applyNumberFormat="1" applyFont="1" applyFill="1" applyBorder="1" applyAlignment="1">
      <alignment vertical="center" wrapText="1"/>
    </xf>
    <xf numFmtId="9" fontId="4" fillId="4" borderId="31" xfId="4" applyFont="1" applyFill="1" applyBorder="1"/>
    <xf numFmtId="9" fontId="4" fillId="4" borderId="33" xfId="4" applyFont="1" applyFill="1" applyBorder="1"/>
    <xf numFmtId="9" fontId="4" fillId="4" borderId="32" xfId="4" applyFont="1" applyFill="1" applyBorder="1"/>
    <xf numFmtId="0" fontId="3" fillId="4" borderId="0" xfId="5" applyFont="1" applyFill="1" applyBorder="1" applyAlignment="1">
      <alignment horizontal="right" vertical="center" wrapText="1"/>
    </xf>
    <xf numFmtId="0" fontId="14" fillId="4" borderId="0" xfId="0" applyFont="1" applyFill="1" applyBorder="1"/>
    <xf numFmtId="0" fontId="14" fillId="4" borderId="13" xfId="5" applyFont="1" applyFill="1" applyBorder="1" applyAlignment="1">
      <alignment horizontal="right" vertical="center" wrapText="1"/>
    </xf>
    <xf numFmtId="0" fontId="14" fillId="4" borderId="0" xfId="5" applyFont="1" applyFill="1" applyBorder="1" applyAlignment="1">
      <alignment vertical="center"/>
    </xf>
    <xf numFmtId="0" fontId="14" fillId="0" borderId="13" xfId="5" applyFont="1" applyFill="1" applyBorder="1" applyAlignment="1">
      <alignment vertical="center" wrapText="1"/>
    </xf>
    <xf numFmtId="0" fontId="14" fillId="0" borderId="0" xfId="5" applyFont="1" applyFill="1" applyBorder="1" applyAlignment="1">
      <alignment vertical="center" wrapText="1"/>
    </xf>
    <xf numFmtId="0" fontId="14" fillId="0" borderId="23" xfId="5" applyFont="1" applyFill="1" applyBorder="1" applyAlignment="1">
      <alignment vertical="center" wrapText="1"/>
    </xf>
    <xf numFmtId="3" fontId="14" fillId="4" borderId="13" xfId="5" applyNumberFormat="1" applyFont="1" applyFill="1" applyBorder="1" applyAlignment="1">
      <alignment vertical="center" wrapText="1"/>
    </xf>
    <xf numFmtId="3" fontId="14" fillId="4" borderId="0" xfId="5" applyNumberFormat="1" applyFont="1" applyFill="1" applyBorder="1" applyAlignment="1">
      <alignment vertical="center" wrapText="1"/>
    </xf>
    <xf numFmtId="3" fontId="14" fillId="4" borderId="23" xfId="5" applyNumberFormat="1" applyFont="1" applyFill="1" applyBorder="1" applyAlignment="1">
      <alignment vertical="center" wrapText="1"/>
    </xf>
    <xf numFmtId="1" fontId="14" fillId="4" borderId="18" xfId="5" applyNumberFormat="1" applyFont="1" applyFill="1" applyBorder="1" applyAlignment="1">
      <alignment vertical="center" wrapText="1"/>
    </xf>
    <xf numFmtId="0" fontId="14" fillId="0" borderId="18" xfId="5" applyFont="1" applyFill="1" applyBorder="1" applyAlignment="1">
      <alignment vertical="center" wrapText="1"/>
    </xf>
    <xf numFmtId="3" fontId="14" fillId="0" borderId="18" xfId="5" applyNumberFormat="1" applyFont="1" applyFill="1" applyBorder="1" applyAlignment="1">
      <alignment vertical="center" wrapText="1"/>
    </xf>
    <xf numFmtId="3" fontId="14" fillId="4" borderId="18" xfId="5" applyNumberFormat="1" applyFont="1" applyFill="1" applyBorder="1" applyAlignment="1">
      <alignment vertical="center" wrapText="1"/>
    </xf>
    <xf numFmtId="0" fontId="14" fillId="4" borderId="0" xfId="5" applyFont="1" applyFill="1" applyBorder="1" applyAlignment="1">
      <alignment vertical="center" wrapText="1"/>
    </xf>
    <xf numFmtId="3" fontId="14" fillId="4" borderId="26" xfId="5" applyNumberFormat="1" applyFont="1" applyFill="1" applyBorder="1" applyAlignment="1">
      <alignment vertical="center" wrapText="1"/>
    </xf>
    <xf numFmtId="0" fontId="14" fillId="4" borderId="18" xfId="5" applyFont="1" applyFill="1" applyBorder="1" applyAlignment="1">
      <alignment vertical="center" wrapText="1"/>
    </xf>
    <xf numFmtId="0" fontId="15" fillId="4" borderId="0" xfId="0" applyFont="1" applyFill="1" applyBorder="1"/>
    <xf numFmtId="0" fontId="15" fillId="4" borderId="13" xfId="5" applyFont="1" applyFill="1" applyBorder="1" applyAlignment="1">
      <alignment horizontal="right" vertical="center" wrapText="1"/>
    </xf>
    <xf numFmtId="0" fontId="15" fillId="4" borderId="0" xfId="5" applyFont="1" applyFill="1" applyBorder="1" applyAlignment="1">
      <alignment vertical="center"/>
    </xf>
    <xf numFmtId="0" fontId="15" fillId="0" borderId="13" xfId="5" applyFont="1" applyFill="1" applyBorder="1" applyAlignment="1">
      <alignment vertical="center" wrapText="1"/>
    </xf>
    <xf numFmtId="0" fontId="15" fillId="0" borderId="0" xfId="5" applyFont="1" applyFill="1" applyBorder="1" applyAlignment="1">
      <alignment vertical="center" wrapText="1"/>
    </xf>
    <xf numFmtId="0" fontId="15" fillId="0" borderId="23" xfId="5" applyFont="1" applyFill="1" applyBorder="1" applyAlignment="1">
      <alignment vertical="center" wrapText="1"/>
    </xf>
    <xf numFmtId="3" fontId="15" fillId="4" borderId="13" xfId="5" applyNumberFormat="1" applyFont="1" applyFill="1" applyBorder="1" applyAlignment="1">
      <alignment vertical="center" wrapText="1"/>
    </xf>
    <xf numFmtId="3" fontId="15" fillId="4" borderId="0" xfId="5" applyNumberFormat="1" applyFont="1" applyFill="1" applyBorder="1" applyAlignment="1">
      <alignment vertical="center" wrapText="1"/>
    </xf>
    <xf numFmtId="3" fontId="15" fillId="4" borderId="23" xfId="5" applyNumberFormat="1" applyFont="1" applyFill="1" applyBorder="1" applyAlignment="1">
      <alignment vertical="center" wrapText="1"/>
    </xf>
    <xf numFmtId="1" fontId="15" fillId="4" borderId="18" xfId="5" applyNumberFormat="1" applyFont="1" applyFill="1" applyBorder="1" applyAlignment="1">
      <alignment vertical="center" wrapText="1"/>
    </xf>
    <xf numFmtId="0" fontId="15" fillId="0" borderId="18" xfId="5" applyFont="1" applyFill="1" applyBorder="1" applyAlignment="1">
      <alignment vertical="center" wrapText="1"/>
    </xf>
    <xf numFmtId="3" fontId="15" fillId="0" borderId="18" xfId="5" applyNumberFormat="1" applyFont="1" applyFill="1" applyBorder="1" applyAlignment="1">
      <alignment vertical="center" wrapText="1"/>
    </xf>
    <xf numFmtId="3" fontId="15" fillId="4" borderId="18" xfId="5" applyNumberFormat="1" applyFont="1" applyFill="1" applyBorder="1" applyAlignment="1">
      <alignment vertical="center" wrapText="1"/>
    </xf>
    <xf numFmtId="0" fontId="15" fillId="4" borderId="0" xfId="5" applyFont="1" applyFill="1" applyBorder="1" applyAlignment="1">
      <alignment vertical="center" wrapText="1"/>
    </xf>
    <xf numFmtId="3" fontId="15" fillId="4" borderId="26" xfId="5" applyNumberFormat="1" applyFont="1" applyFill="1" applyBorder="1" applyAlignment="1">
      <alignment vertical="center" wrapText="1"/>
    </xf>
    <xf numFmtId="0" fontId="15" fillId="4" borderId="18" xfId="5" applyFont="1" applyFill="1" applyBorder="1" applyAlignment="1">
      <alignment vertical="center" wrapText="1"/>
    </xf>
    <xf numFmtId="164" fontId="15" fillId="4" borderId="0" xfId="1" applyNumberFormat="1" applyFont="1" applyFill="1" applyBorder="1"/>
    <xf numFmtId="9" fontId="15" fillId="4" borderId="0" xfId="5" applyNumberFormat="1" applyFont="1" applyFill="1" applyBorder="1" applyAlignment="1">
      <alignment vertical="center" wrapText="1"/>
    </xf>
    <xf numFmtId="3" fontId="16" fillId="0" borderId="23" xfId="7" applyNumberFormat="1" applyFont="1" applyFill="1" applyBorder="1" applyAlignment="1">
      <alignment vertical="center" wrapText="1"/>
    </xf>
    <xf numFmtId="3" fontId="16" fillId="0" borderId="0" xfId="7" applyNumberFormat="1" applyFont="1" applyFill="1" applyBorder="1" applyAlignment="1">
      <alignment vertical="center" wrapText="1"/>
    </xf>
    <xf numFmtId="3" fontId="16" fillId="0" borderId="18" xfId="7" applyNumberFormat="1" applyFont="1" applyFill="1" applyBorder="1" applyAlignment="1">
      <alignment vertical="center" wrapText="1"/>
    </xf>
    <xf numFmtId="0" fontId="15" fillId="4" borderId="13" xfId="5" applyFont="1" applyFill="1" applyBorder="1" applyAlignment="1">
      <alignment vertical="center" wrapText="1"/>
    </xf>
    <xf numFmtId="9" fontId="14" fillId="4" borderId="0" xfId="5" applyNumberFormat="1" applyFont="1" applyFill="1" applyBorder="1" applyAlignment="1">
      <alignment vertical="center" wrapText="1"/>
    </xf>
    <xf numFmtId="0" fontId="6" fillId="4" borderId="0" xfId="5" applyFont="1" applyFill="1" applyBorder="1" applyAlignment="1">
      <alignment vertical="center"/>
    </xf>
    <xf numFmtId="3" fontId="15" fillId="0" borderId="0" xfId="5" applyNumberFormat="1" applyFont="1" applyFill="1" applyBorder="1" applyAlignment="1">
      <alignment vertical="center" wrapText="1"/>
    </xf>
    <xf numFmtId="0" fontId="6" fillId="4" borderId="1" xfId="5" applyFont="1" applyFill="1" applyBorder="1" applyAlignment="1">
      <alignment vertical="center" wrapText="1"/>
    </xf>
    <xf numFmtId="0" fontId="6" fillId="4" borderId="11" xfId="5" applyFont="1" applyFill="1" applyBorder="1" applyAlignment="1">
      <alignment vertical="center"/>
    </xf>
    <xf numFmtId="3" fontId="4" fillId="4" borderId="21" xfId="5" applyNumberFormat="1" applyFont="1" applyFill="1" applyBorder="1" applyAlignment="1">
      <alignment vertical="center" wrapText="1"/>
    </xf>
    <xf numFmtId="3" fontId="6" fillId="0" borderId="10" xfId="5" applyNumberFormat="1" applyFont="1" applyFill="1" applyBorder="1" applyAlignment="1">
      <alignment vertical="center" wrapText="1"/>
    </xf>
    <xf numFmtId="0" fontId="3" fillId="4" borderId="5" xfId="5" applyFont="1" applyFill="1" applyBorder="1" applyAlignment="1">
      <alignment horizontal="center" vertical="center" wrapText="1"/>
    </xf>
    <xf numFmtId="0" fontId="3" fillId="4" borderId="6" xfId="5" applyFont="1" applyFill="1" applyBorder="1" applyAlignment="1">
      <alignment horizontal="center" vertical="center" wrapText="1"/>
    </xf>
    <xf numFmtId="9" fontId="4" fillId="4" borderId="0" xfId="0" applyNumberFormat="1" applyFont="1" applyFill="1" applyBorder="1"/>
    <xf numFmtId="0" fontId="4" fillId="4" borderId="28" xfId="0" applyFont="1" applyFill="1" applyBorder="1" applyAlignment="1">
      <alignment horizontal="right" wrapText="1"/>
    </xf>
    <xf numFmtId="0" fontId="9" fillId="2" borderId="0" xfId="0" applyFont="1" applyFill="1" applyBorder="1" applyAlignment="1"/>
    <xf numFmtId="0" fontId="4" fillId="4" borderId="0" xfId="0" applyFont="1" applyFill="1" applyBorder="1" applyAlignment="1"/>
    <xf numFmtId="0" fontId="4" fillId="4" borderId="28" xfId="0" applyFont="1" applyFill="1" applyBorder="1" applyAlignment="1"/>
    <xf numFmtId="0" fontId="3" fillId="4" borderId="0" xfId="5" applyFont="1" applyFill="1" applyBorder="1" applyAlignment="1">
      <alignment horizontal="right" vertical="center"/>
    </xf>
    <xf numFmtId="0" fontId="14" fillId="4" borderId="0" xfId="0" applyFont="1" applyFill="1" applyBorder="1" applyAlignment="1"/>
    <xf numFmtId="0" fontId="15" fillId="4" borderId="0" xfId="0" applyFont="1" applyFill="1" applyBorder="1" applyAlignment="1"/>
    <xf numFmtId="0" fontId="4" fillId="4" borderId="33" xfId="0" applyFont="1" applyFill="1" applyBorder="1" applyAlignment="1">
      <alignment horizontal="right"/>
    </xf>
    <xf numFmtId="0" fontId="4" fillId="4" borderId="30" xfId="0" applyFont="1" applyFill="1" applyBorder="1" applyAlignment="1"/>
    <xf numFmtId="0" fontId="4" fillId="4" borderId="23" xfId="5" applyFont="1" applyFill="1" applyBorder="1" applyAlignment="1">
      <alignment horizontal="right" vertical="center"/>
    </xf>
    <xf numFmtId="0" fontId="4" fillId="4" borderId="12" xfId="5" applyFont="1" applyFill="1" applyBorder="1" applyAlignment="1">
      <alignment vertical="center"/>
    </xf>
    <xf numFmtId="0" fontId="4" fillId="0" borderId="21" xfId="5" applyFont="1" applyFill="1" applyBorder="1" applyAlignment="1">
      <alignment vertical="center" wrapText="1"/>
    </xf>
    <xf numFmtId="0" fontId="3" fillId="0" borderId="12" xfId="5" applyFont="1" applyFill="1" applyBorder="1" applyAlignment="1">
      <alignment vertical="center" wrapText="1"/>
    </xf>
    <xf numFmtId="3" fontId="4" fillId="4" borderId="3" xfId="5" applyNumberFormat="1" applyFont="1" applyFill="1" applyBorder="1" applyAlignment="1">
      <alignment vertical="center" wrapText="1"/>
    </xf>
    <xf numFmtId="0" fontId="4" fillId="4" borderId="12" xfId="0" applyFont="1" applyFill="1" applyBorder="1"/>
    <xf numFmtId="0" fontId="3" fillId="0" borderId="15" xfId="5" applyFont="1" applyFill="1" applyBorder="1" applyAlignment="1">
      <alignment vertical="center" wrapText="1"/>
    </xf>
    <xf numFmtId="3" fontId="4" fillId="4" borderId="25" xfId="5" applyNumberFormat="1" applyFont="1" applyFill="1" applyBorder="1" applyAlignment="1">
      <alignment vertical="center" wrapText="1"/>
    </xf>
    <xf numFmtId="0" fontId="3" fillId="4" borderId="12" xfId="2" applyFont="1" applyFill="1" applyBorder="1" applyAlignment="1">
      <alignment vertical="center" wrapText="1"/>
    </xf>
    <xf numFmtId="3" fontId="6" fillId="0" borderId="23" xfId="0" applyNumberFormat="1" applyFont="1" applyBorder="1"/>
    <xf numFmtId="0" fontId="17" fillId="4" borderId="0" xfId="0" applyFont="1" applyFill="1" applyBorder="1"/>
    <xf numFmtId="0" fontId="3" fillId="4" borderId="13" xfId="0" applyFont="1" applyFill="1" applyBorder="1"/>
    <xf numFmtId="0" fontId="3" fillId="4" borderId="14" xfId="0" applyFont="1" applyFill="1" applyBorder="1"/>
    <xf numFmtId="0" fontId="12" fillId="4" borderId="0" xfId="0" applyFont="1" applyFill="1" applyBorder="1"/>
    <xf numFmtId="0" fontId="12" fillId="4" borderId="3" xfId="0" applyFont="1" applyFill="1" applyBorder="1"/>
    <xf numFmtId="0" fontId="12" fillId="4" borderId="7" xfId="0" applyFont="1" applyFill="1" applyBorder="1"/>
    <xf numFmtId="0" fontId="18" fillId="4" borderId="0" xfId="0" applyFont="1" applyFill="1" applyBorder="1" applyAlignment="1">
      <alignment horizontal="center"/>
    </xf>
    <xf numFmtId="0" fontId="12" fillId="4" borderId="0" xfId="0" applyFont="1" applyFill="1" applyBorder="1" applyAlignment="1"/>
    <xf numFmtId="0" fontId="19" fillId="5" borderId="3" xfId="0" applyFont="1" applyFill="1" applyBorder="1" applyAlignment="1"/>
    <xf numFmtId="0" fontId="19" fillId="5" borderId="12" xfId="0" applyFont="1" applyFill="1" applyBorder="1" applyAlignment="1"/>
    <xf numFmtId="0" fontId="19" fillId="5" borderId="7" xfId="0" applyFont="1" applyFill="1" applyBorder="1" applyAlignment="1"/>
    <xf numFmtId="0" fontId="19" fillId="6" borderId="3" xfId="0" applyFont="1" applyFill="1" applyBorder="1" applyAlignment="1"/>
    <xf numFmtId="0" fontId="19" fillId="6" borderId="12" xfId="0" applyFont="1" applyFill="1" applyBorder="1" applyAlignment="1"/>
    <xf numFmtId="0" fontId="19" fillId="6" borderId="12" xfId="0" applyFont="1" applyFill="1" applyBorder="1" applyAlignment="1">
      <alignment horizontal="center"/>
    </xf>
    <xf numFmtId="0" fontId="19" fillId="6" borderId="7" xfId="0" applyFont="1" applyFill="1" applyBorder="1" applyAlignment="1"/>
    <xf numFmtId="0" fontId="19" fillId="7" borderId="3" xfId="0" applyFont="1" applyFill="1" applyBorder="1" applyAlignment="1"/>
    <xf numFmtId="0" fontId="19" fillId="7" borderId="12" xfId="0" applyFont="1" applyFill="1" applyBorder="1" applyAlignment="1">
      <alignment horizontal="center"/>
    </xf>
    <xf numFmtId="0" fontId="19" fillId="7" borderId="12" xfId="0" applyFont="1" applyFill="1" applyBorder="1" applyAlignment="1"/>
    <xf numFmtId="0" fontId="19" fillId="7" borderId="7" xfId="0" applyFont="1" applyFill="1" applyBorder="1" applyAlignment="1">
      <alignment horizontal="center"/>
    </xf>
    <xf numFmtId="0" fontId="3" fillId="4" borderId="14" xfId="2" applyFont="1" applyFill="1" applyBorder="1" applyAlignment="1">
      <alignment vertical="center" wrapText="1"/>
    </xf>
    <xf numFmtId="0" fontId="4" fillId="4" borderId="18" xfId="2" applyFont="1" applyFill="1" applyBorder="1" applyAlignment="1">
      <alignment horizontal="center" vertical="center" wrapText="1"/>
    </xf>
    <xf numFmtId="0" fontId="4" fillId="4" borderId="0" xfId="2" applyFont="1" applyFill="1" applyBorder="1" applyAlignment="1">
      <alignment horizontal="left" vertical="center"/>
    </xf>
    <xf numFmtId="0" fontId="4" fillId="4" borderId="26" xfId="2" applyFont="1" applyFill="1" applyBorder="1" applyAlignment="1">
      <alignment vertical="center" wrapText="1"/>
    </xf>
    <xf numFmtId="0" fontId="4" fillId="4" borderId="23" xfId="2" applyFont="1" applyFill="1" applyBorder="1" applyAlignment="1">
      <alignment vertical="center" wrapText="1"/>
    </xf>
    <xf numFmtId="0" fontId="3" fillId="4" borderId="13" xfId="0" applyFont="1" applyFill="1" applyBorder="1" applyAlignment="1">
      <alignment vertical="center"/>
    </xf>
    <xf numFmtId="0" fontId="3" fillId="4" borderId="0" xfId="0" applyFont="1" applyFill="1" applyBorder="1" applyAlignment="1">
      <alignment vertical="center"/>
    </xf>
    <xf numFmtId="0" fontId="3" fillId="4" borderId="0" xfId="0" applyFont="1" applyFill="1" applyBorder="1" applyAlignment="1">
      <alignment horizontal="center" vertical="center"/>
    </xf>
    <xf numFmtId="0" fontId="3" fillId="4" borderId="23" xfId="0" applyFont="1" applyFill="1" applyBorder="1" applyAlignment="1">
      <alignment vertical="center"/>
    </xf>
    <xf numFmtId="0" fontId="3" fillId="4" borderId="13" xfId="0" applyFont="1" applyFill="1" applyBorder="1" applyAlignment="1">
      <alignment vertical="center" wrapText="1"/>
    </xf>
    <xf numFmtId="0" fontId="3" fillId="4" borderId="0" xfId="0" applyFont="1" applyFill="1" applyBorder="1" applyAlignment="1">
      <alignment vertical="center" wrapText="1"/>
    </xf>
    <xf numFmtId="0" fontId="3" fillId="4" borderId="14" xfId="0" applyFont="1" applyFill="1" applyBorder="1" applyAlignment="1">
      <alignment vertical="center" wrapText="1"/>
    </xf>
    <xf numFmtId="0" fontId="3" fillId="4" borderId="18" xfId="0" applyFont="1" applyFill="1" applyBorder="1" applyAlignment="1">
      <alignment horizontal="center" vertical="center"/>
    </xf>
    <xf numFmtId="0" fontId="3" fillId="4" borderId="13" xfId="2" applyFont="1" applyFill="1" applyBorder="1" applyAlignment="1">
      <alignment vertical="center"/>
    </xf>
    <xf numFmtId="0" fontId="3" fillId="4" borderId="13" xfId="0" applyFont="1" applyFill="1" applyBorder="1" applyAlignment="1">
      <alignment horizontal="center" vertical="center" wrapText="1"/>
    </xf>
    <xf numFmtId="0" fontId="3" fillId="4" borderId="0" xfId="0" applyFont="1" applyFill="1" applyBorder="1" applyAlignment="1">
      <alignment horizontal="left" vertical="center"/>
    </xf>
    <xf numFmtId="0" fontId="3" fillId="4" borderId="14" xfId="0" applyFont="1" applyFill="1" applyBorder="1" applyAlignment="1">
      <alignment horizontal="center" vertical="center"/>
    </xf>
    <xf numFmtId="0" fontId="17" fillId="4" borderId="0" xfId="0" applyFont="1" applyFill="1" applyBorder="1" applyAlignment="1"/>
    <xf numFmtId="0" fontId="4" fillId="4" borderId="6" xfId="5" applyFont="1" applyFill="1" applyBorder="1" applyAlignment="1">
      <alignment vertical="center" wrapText="1"/>
    </xf>
    <xf numFmtId="0" fontId="4" fillId="4" borderId="23" xfId="5" applyFont="1" applyFill="1" applyBorder="1" applyAlignment="1">
      <alignment vertical="center" wrapText="1"/>
    </xf>
    <xf numFmtId="3" fontId="4" fillId="0" borderId="3" xfId="5" applyNumberFormat="1" applyFont="1" applyFill="1" applyBorder="1" applyAlignment="1">
      <alignment vertical="center" wrapText="1"/>
    </xf>
    <xf numFmtId="3" fontId="4" fillId="0" borderId="12" xfId="5" applyNumberFormat="1" applyFont="1" applyFill="1" applyBorder="1" applyAlignment="1">
      <alignment vertical="center" wrapText="1"/>
    </xf>
    <xf numFmtId="3" fontId="4" fillId="0" borderId="0" xfId="5" applyNumberFormat="1" applyFont="1" applyFill="1" applyBorder="1" applyAlignment="1">
      <alignment vertical="center" wrapText="1"/>
    </xf>
    <xf numFmtId="3" fontId="4" fillId="0" borderId="23" xfId="5" applyNumberFormat="1" applyFont="1" applyFill="1" applyBorder="1" applyAlignment="1">
      <alignment vertical="center" wrapText="1"/>
    </xf>
    <xf numFmtId="3" fontId="3" fillId="0" borderId="18" xfId="5" applyNumberFormat="1" applyFont="1" applyFill="1" applyBorder="1" applyAlignment="1">
      <alignment vertical="center" wrapText="1"/>
    </xf>
    <xf numFmtId="3" fontId="4" fillId="0" borderId="13" xfId="5" applyNumberFormat="1" applyFont="1" applyFill="1" applyBorder="1" applyAlignment="1">
      <alignment vertical="center" wrapText="1"/>
    </xf>
    <xf numFmtId="3" fontId="15" fillId="0" borderId="13" xfId="5" applyNumberFormat="1" applyFont="1" applyFill="1" applyBorder="1" applyAlignment="1">
      <alignment vertical="center" wrapText="1"/>
    </xf>
    <xf numFmtId="3" fontId="15" fillId="0" borderId="23" xfId="5" applyNumberFormat="1" applyFont="1" applyFill="1" applyBorder="1" applyAlignment="1">
      <alignment vertical="center" wrapText="1"/>
    </xf>
    <xf numFmtId="3" fontId="14" fillId="0" borderId="0" xfId="5" applyNumberFormat="1" applyFont="1" applyFill="1" applyBorder="1" applyAlignment="1">
      <alignment vertical="center" wrapText="1"/>
    </xf>
    <xf numFmtId="3" fontId="14" fillId="0" borderId="23" xfId="5" applyNumberFormat="1" applyFont="1" applyFill="1" applyBorder="1" applyAlignment="1">
      <alignment vertical="center" wrapText="1"/>
    </xf>
    <xf numFmtId="3" fontId="4" fillId="0" borderId="1" xfId="5" applyNumberFormat="1" applyFont="1" applyFill="1" applyBorder="1" applyAlignment="1">
      <alignment vertical="center" wrapText="1"/>
    </xf>
    <xf numFmtId="3" fontId="4" fillId="0" borderId="11" xfId="5" applyNumberFormat="1" applyFont="1" applyFill="1" applyBorder="1" applyAlignment="1">
      <alignment vertical="center" wrapText="1"/>
    </xf>
    <xf numFmtId="3" fontId="4" fillId="0" borderId="22" xfId="5" applyNumberFormat="1" applyFont="1" applyFill="1" applyBorder="1" applyAlignment="1">
      <alignment vertical="center" wrapText="1"/>
    </xf>
    <xf numFmtId="3" fontId="6" fillId="0" borderId="27" xfId="5" applyNumberFormat="1" applyFont="1" applyFill="1" applyBorder="1" applyAlignment="1">
      <alignment horizontal="center" vertical="center" wrapText="1"/>
    </xf>
    <xf numFmtId="0" fontId="4" fillId="4" borderId="2" xfId="5" applyFont="1" applyFill="1" applyBorder="1" applyAlignment="1">
      <alignment horizontal="right" vertical="center"/>
    </xf>
    <xf numFmtId="3" fontId="20" fillId="0" borderId="23" xfId="5" applyNumberFormat="1" applyFont="1" applyFill="1" applyBorder="1" applyAlignment="1">
      <alignment vertical="center" wrapText="1"/>
    </xf>
    <xf numFmtId="0" fontId="4" fillId="0" borderId="0" xfId="5" applyFont="1" applyFill="1" applyBorder="1" applyAlignment="1">
      <alignment vertical="center"/>
    </xf>
    <xf numFmtId="3" fontId="4" fillId="0" borderId="21" xfId="5" applyNumberFormat="1" applyFont="1" applyFill="1" applyBorder="1" applyAlignment="1">
      <alignment vertical="center" wrapText="1"/>
    </xf>
    <xf numFmtId="3" fontId="4" fillId="4" borderId="20" xfId="5" applyNumberFormat="1" applyFont="1" applyFill="1" applyBorder="1" applyAlignment="1">
      <alignment vertical="center" wrapText="1"/>
    </xf>
    <xf numFmtId="0" fontId="4" fillId="4" borderId="11" xfId="0" applyFont="1" applyFill="1" applyBorder="1"/>
    <xf numFmtId="3" fontId="4" fillId="4" borderId="9" xfId="5" applyNumberFormat="1" applyFont="1" applyFill="1" applyBorder="1" applyAlignment="1">
      <alignment vertical="center" wrapText="1"/>
    </xf>
    <xf numFmtId="0" fontId="21" fillId="4" borderId="0" xfId="0" applyFont="1" applyFill="1" applyBorder="1" applyAlignment="1">
      <alignment horizontal="right"/>
    </xf>
    <xf numFmtId="3" fontId="13" fillId="4" borderId="10" xfId="5" applyNumberFormat="1" applyFont="1" applyFill="1" applyBorder="1" applyAlignment="1">
      <alignment vertical="center" wrapText="1"/>
    </xf>
    <xf numFmtId="0" fontId="4" fillId="4" borderId="0" xfId="2" applyFont="1" applyFill="1" applyBorder="1" applyAlignment="1">
      <alignment horizontal="center" vertical="center" wrapText="1"/>
    </xf>
    <xf numFmtId="0" fontId="6" fillId="0" borderId="10" xfId="5" applyFont="1" applyFill="1" applyBorder="1" applyAlignment="1">
      <alignment horizontal="center" vertical="center" wrapText="1"/>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3" fontId="22" fillId="4" borderId="26" xfId="5" applyNumberFormat="1" applyFont="1" applyFill="1" applyBorder="1" applyAlignment="1">
      <alignment vertical="center" wrapText="1"/>
    </xf>
    <xf numFmtId="3" fontId="6" fillId="0" borderId="10" xfId="0" applyNumberFormat="1" applyFont="1" applyBorder="1" applyAlignment="1"/>
    <xf numFmtId="0" fontId="23" fillId="2" borderId="0" xfId="0" applyFont="1" applyFill="1" applyBorder="1"/>
    <xf numFmtId="0" fontId="23" fillId="5" borderId="12" xfId="0" applyFont="1" applyFill="1" applyBorder="1" applyAlignment="1"/>
    <xf numFmtId="0" fontId="6" fillId="0" borderId="10" xfId="0" applyFont="1" applyBorder="1" applyAlignment="1"/>
    <xf numFmtId="3" fontId="11" fillId="0" borderId="27" xfId="5" applyNumberFormat="1" applyFont="1" applyFill="1" applyBorder="1" applyAlignment="1">
      <alignment vertical="center"/>
    </xf>
    <xf numFmtId="0" fontId="6" fillId="0" borderId="10" xfId="5" applyFont="1" applyFill="1" applyBorder="1" applyAlignment="1">
      <alignment horizontal="center" vertical="center" wrapText="1"/>
    </xf>
    <xf numFmtId="0" fontId="4" fillId="4" borderId="0" xfId="2" applyFont="1" applyFill="1" applyBorder="1" applyAlignment="1">
      <alignment horizontal="center" vertical="center" wrapText="1"/>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0" fontId="15" fillId="4" borderId="13" xfId="0" applyFont="1" applyFill="1" applyBorder="1"/>
    <xf numFmtId="0" fontId="4" fillId="4" borderId="13" xfId="0" applyFont="1" applyFill="1" applyBorder="1"/>
    <xf numFmtId="0" fontId="14" fillId="4" borderId="13" xfId="0" applyFont="1" applyFill="1" applyBorder="1"/>
    <xf numFmtId="0" fontId="4" fillId="4" borderId="26" xfId="5" applyFont="1" applyFill="1" applyBorder="1" applyAlignment="1">
      <alignment vertical="center" wrapText="1"/>
    </xf>
    <xf numFmtId="3" fontId="15" fillId="4" borderId="13" xfId="0" applyNumberFormat="1" applyFont="1" applyFill="1" applyBorder="1"/>
    <xf numFmtId="3" fontId="15" fillId="4" borderId="0" xfId="0" applyNumberFormat="1" applyFont="1" applyFill="1" applyBorder="1"/>
    <xf numFmtId="3" fontId="15" fillId="4" borderId="23" xfId="5" applyNumberFormat="1" applyFont="1" applyFill="1" applyBorder="1" applyAlignment="1">
      <alignment wrapText="1"/>
    </xf>
    <xf numFmtId="0" fontId="4" fillId="4" borderId="21" xfId="5" applyFont="1" applyFill="1" applyBorder="1" applyAlignment="1">
      <alignment vertical="center" wrapText="1"/>
    </xf>
    <xf numFmtId="0" fontId="4" fillId="4" borderId="28" xfId="0" applyFont="1" applyFill="1" applyBorder="1" applyAlignment="1">
      <alignment horizontal="left"/>
    </xf>
    <xf numFmtId="0" fontId="6" fillId="0" borderId="10" xfId="5" applyFont="1" applyFill="1" applyBorder="1" applyAlignment="1">
      <alignment horizontal="center" vertical="center" wrapText="1"/>
    </xf>
    <xf numFmtId="0" fontId="4" fillId="4" borderId="0" xfId="2"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4" fillId="0" borderId="0" xfId="0" applyFont="1" applyFill="1" applyBorder="1"/>
    <xf numFmtId="0" fontId="15" fillId="0" borderId="0" xfId="0" applyFont="1" applyFill="1" applyBorder="1"/>
    <xf numFmtId="3" fontId="6" fillId="0" borderId="23" xfId="7" applyNumberFormat="1" applyFont="1" applyFill="1" applyBorder="1" applyAlignment="1">
      <alignment vertical="center" wrapText="1"/>
    </xf>
    <xf numFmtId="3" fontId="26" fillId="0" borderId="23" xfId="7" applyNumberFormat="1" applyFont="1" applyFill="1" applyBorder="1" applyAlignment="1">
      <alignment vertical="center" wrapText="1"/>
    </xf>
    <xf numFmtId="0" fontId="6" fillId="0" borderId="18" xfId="5" applyFont="1" applyFill="1" applyBorder="1" applyAlignment="1">
      <alignment vertical="center" wrapText="1"/>
    </xf>
    <xf numFmtId="0" fontId="6" fillId="0" borderId="10" xfId="5" applyFont="1" applyFill="1" applyBorder="1" applyAlignment="1">
      <alignment horizontal="center" vertical="center" wrapText="1"/>
    </xf>
    <xf numFmtId="0" fontId="4" fillId="4" borderId="0" xfId="2"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3" fontId="15" fillId="0" borderId="23" xfId="7" applyNumberFormat="1" applyFont="1" applyFill="1" applyBorder="1" applyAlignment="1">
      <alignment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0" fontId="6" fillId="0" borderId="10" xfId="5" applyFont="1" applyFill="1" applyBorder="1" applyAlignment="1">
      <alignment horizontal="center" vertical="center" wrapText="1"/>
    </xf>
    <xf numFmtId="3" fontId="4" fillId="4" borderId="11" xfId="5" applyNumberFormat="1" applyFont="1" applyFill="1" applyBorder="1" applyAlignment="1">
      <alignment vertical="center" wrapText="1"/>
    </xf>
    <xf numFmtId="0" fontId="3" fillId="4" borderId="0" xfId="2" applyFont="1" applyFill="1" applyBorder="1" applyAlignment="1">
      <alignment vertical="center"/>
    </xf>
    <xf numFmtId="0" fontId="3" fillId="4" borderId="26" xfId="0" applyFont="1" applyFill="1" applyBorder="1" applyAlignment="1">
      <alignment horizontal="center" vertical="center"/>
    </xf>
    <xf numFmtId="0" fontId="4" fillId="4" borderId="9" xfId="2" applyFont="1" applyFill="1" applyBorder="1" applyAlignment="1">
      <alignment horizontal="center" vertical="center" wrapText="1"/>
    </xf>
    <xf numFmtId="0" fontId="3" fillId="0" borderId="26" xfId="5" applyFont="1" applyFill="1" applyBorder="1" applyAlignment="1">
      <alignment vertical="center" wrapText="1"/>
    </xf>
    <xf numFmtId="0" fontId="3" fillId="0" borderId="14" xfId="5" applyFont="1" applyFill="1" applyBorder="1" applyAlignment="1">
      <alignment vertical="center" wrapText="1"/>
    </xf>
    <xf numFmtId="0" fontId="4" fillId="0" borderId="26" xfId="5" applyFont="1" applyFill="1" applyBorder="1" applyAlignment="1">
      <alignment vertical="center" wrapText="1"/>
    </xf>
    <xf numFmtId="0" fontId="4" fillId="0" borderId="14" xfId="5" applyFont="1" applyFill="1" applyBorder="1" applyAlignment="1">
      <alignment vertical="center" wrapText="1"/>
    </xf>
    <xf numFmtId="0" fontId="15" fillId="0" borderId="26" xfId="5" applyFont="1" applyFill="1" applyBorder="1" applyAlignment="1">
      <alignment vertical="center" wrapText="1"/>
    </xf>
    <xf numFmtId="0" fontId="15" fillId="0" borderId="14" xfId="5" applyFont="1" applyFill="1" applyBorder="1" applyAlignment="1">
      <alignment vertical="center" wrapText="1"/>
    </xf>
    <xf numFmtId="3" fontId="4" fillId="0" borderId="26" xfId="5" applyNumberFormat="1" applyFont="1" applyFill="1" applyBorder="1" applyAlignment="1">
      <alignment vertical="center" wrapText="1"/>
    </xf>
    <xf numFmtId="3" fontId="4" fillId="0" borderId="14" xfId="5" applyNumberFormat="1" applyFont="1" applyFill="1" applyBorder="1" applyAlignment="1">
      <alignment vertical="center" wrapText="1"/>
    </xf>
    <xf numFmtId="0" fontId="14" fillId="0" borderId="26" xfId="5" applyFont="1" applyFill="1" applyBorder="1" applyAlignment="1">
      <alignment vertical="center" wrapText="1"/>
    </xf>
    <xf numFmtId="0" fontId="14" fillId="0" borderId="14" xfId="5" applyFont="1" applyFill="1" applyBorder="1" applyAlignment="1">
      <alignment vertical="center" wrapText="1"/>
    </xf>
    <xf numFmtId="3" fontId="8" fillId="0" borderId="26" xfId="7" applyNumberFormat="1" applyFont="1" applyFill="1" applyBorder="1" applyAlignment="1">
      <alignment vertical="center" wrapText="1"/>
    </xf>
    <xf numFmtId="3" fontId="8" fillId="0" borderId="14" xfId="7" applyNumberFormat="1" applyFont="1" applyFill="1" applyBorder="1" applyAlignment="1">
      <alignment vertical="center" wrapText="1"/>
    </xf>
    <xf numFmtId="3" fontId="16" fillId="0" borderId="26" xfId="7" applyNumberFormat="1" applyFont="1" applyFill="1" applyBorder="1" applyAlignment="1">
      <alignment vertical="center" wrapText="1"/>
    </xf>
    <xf numFmtId="3" fontId="16" fillId="0" borderId="14" xfId="7" applyNumberFormat="1" applyFont="1" applyFill="1" applyBorder="1" applyAlignment="1">
      <alignment vertical="center" wrapText="1"/>
    </xf>
    <xf numFmtId="3" fontId="15" fillId="0" borderId="14" xfId="5" applyNumberFormat="1" applyFont="1" applyFill="1" applyBorder="1" applyAlignment="1">
      <alignment vertical="center" wrapText="1"/>
    </xf>
    <xf numFmtId="0" fontId="6" fillId="0" borderId="19" xfId="5" applyFont="1" applyFill="1" applyBorder="1" applyAlignment="1">
      <alignment horizontal="center" vertical="center" wrapText="1"/>
    </xf>
    <xf numFmtId="0" fontId="6" fillId="0" borderId="4" xfId="5" applyFont="1" applyFill="1" applyBorder="1" applyAlignment="1">
      <alignment horizontal="center" vertical="center" wrapText="1"/>
    </xf>
    <xf numFmtId="3" fontId="6" fillId="0" borderId="10" xfId="5" applyNumberFormat="1" applyFont="1" applyFill="1" applyBorder="1" applyAlignment="1">
      <alignment horizontal="center" vertical="center" wrapText="1"/>
    </xf>
    <xf numFmtId="3" fontId="20" fillId="0" borderId="0" xfId="5" applyNumberFormat="1" applyFont="1" applyFill="1" applyBorder="1" applyAlignment="1">
      <alignment vertical="center" wrapText="1"/>
    </xf>
    <xf numFmtId="0" fontId="3" fillId="0" borderId="7" xfId="5" applyFont="1" applyFill="1" applyBorder="1" applyAlignment="1">
      <alignment vertical="center" wrapText="1"/>
    </xf>
    <xf numFmtId="3" fontId="4" fillId="0" borderId="10" xfId="5" applyNumberFormat="1" applyFont="1" applyFill="1" applyBorder="1" applyAlignment="1">
      <alignment vertical="center" wrapText="1"/>
    </xf>
    <xf numFmtId="3" fontId="14" fillId="0" borderId="13" xfId="5" applyNumberFormat="1" applyFont="1" applyFill="1" applyBorder="1" applyAlignment="1">
      <alignment vertical="center" wrapText="1"/>
    </xf>
    <xf numFmtId="3" fontId="11" fillId="0" borderId="18" xfId="5" applyNumberFormat="1" applyFont="1" applyFill="1" applyBorder="1" applyAlignment="1">
      <alignment vertical="center"/>
    </xf>
    <xf numFmtId="1" fontId="4" fillId="0" borderId="0" xfId="5" applyNumberFormat="1" applyFont="1" applyFill="1" applyBorder="1" applyAlignment="1">
      <alignment vertical="center" wrapText="1"/>
    </xf>
    <xf numFmtId="1" fontId="4" fillId="0" borderId="23" xfId="5" applyNumberFormat="1" applyFont="1" applyFill="1" applyBorder="1" applyAlignment="1">
      <alignment vertical="center" wrapText="1"/>
    </xf>
    <xf numFmtId="3" fontId="4" fillId="0" borderId="18" xfId="7" applyNumberFormat="1" applyFont="1" applyFill="1" applyBorder="1" applyAlignment="1">
      <alignment vertical="center" wrapText="1"/>
    </xf>
    <xf numFmtId="0" fontId="4" fillId="4" borderId="13" xfId="2" applyFont="1" applyFill="1" applyBorder="1" applyAlignment="1">
      <alignment horizontal="center" vertical="center" wrapText="1"/>
    </xf>
    <xf numFmtId="0" fontId="4" fillId="4" borderId="0" xfId="2" applyFont="1" applyFill="1" applyBorder="1" applyAlignment="1">
      <alignment horizontal="center" vertical="center" wrapText="1"/>
    </xf>
    <xf numFmtId="0" fontId="4" fillId="4" borderId="23" xfId="2" applyFont="1" applyFill="1" applyBorder="1" applyAlignment="1">
      <alignment horizontal="center" vertical="center" wrapText="1"/>
    </xf>
    <xf numFmtId="3" fontId="27" fillId="0" borderId="18" xfId="5" applyNumberFormat="1" applyFont="1" applyFill="1" applyBorder="1" applyAlignment="1">
      <alignment horizontal="center" vertical="center" wrapText="1"/>
    </xf>
    <xf numFmtId="3" fontId="6" fillId="4" borderId="0" xfId="5" applyNumberFormat="1" applyFont="1" applyFill="1" applyBorder="1" applyAlignment="1">
      <alignment vertical="center" wrapText="1"/>
    </xf>
    <xf numFmtId="3" fontId="21" fillId="4" borderId="0" xfId="0" applyNumberFormat="1" applyFont="1" applyFill="1" applyBorder="1"/>
    <xf numFmtId="0" fontId="4" fillId="4" borderId="1" xfId="5" applyFont="1" applyFill="1" applyBorder="1" applyAlignment="1">
      <alignment vertical="center" wrapText="1"/>
    </xf>
    <xf numFmtId="0" fontId="4" fillId="4" borderId="22" xfId="5" applyFont="1" applyFill="1" applyBorder="1" applyAlignment="1">
      <alignment vertical="center" wrapText="1"/>
    </xf>
    <xf numFmtId="3" fontId="3" fillId="4" borderId="18" xfId="5" applyNumberFormat="1" applyFont="1" applyFill="1" applyBorder="1" applyAlignment="1">
      <alignment vertical="center" wrapText="1"/>
    </xf>
    <xf numFmtId="3" fontId="6" fillId="4" borderId="13" xfId="5" applyNumberFormat="1" applyFont="1" applyFill="1" applyBorder="1" applyAlignment="1">
      <alignment vertical="center" wrapText="1"/>
    </xf>
    <xf numFmtId="4" fontId="4" fillId="3" borderId="31" xfId="0" applyNumberFormat="1" applyFont="1" applyFill="1" applyBorder="1"/>
    <xf numFmtId="4" fontId="4" fillId="3" borderId="0" xfId="0" applyNumberFormat="1" applyFont="1" applyFill="1" applyBorder="1"/>
    <xf numFmtId="0" fontId="3" fillId="4" borderId="0" xfId="2" quotePrefix="1" applyFont="1" applyFill="1" applyBorder="1" applyAlignment="1">
      <alignment horizontal="right" vertical="center"/>
    </xf>
    <xf numFmtId="0" fontId="15" fillId="3" borderId="0" xfId="0" applyFont="1" applyFill="1" applyBorder="1"/>
    <xf numFmtId="0" fontId="4" fillId="3" borderId="0" xfId="0" quotePrefix="1" applyFont="1" applyFill="1" applyBorder="1" applyAlignment="1">
      <alignment horizontal="right"/>
    </xf>
    <xf numFmtId="3" fontId="4" fillId="3" borderId="31" xfId="0" applyNumberFormat="1" applyFont="1" applyFill="1" applyBorder="1"/>
    <xf numFmtId="3" fontId="4" fillId="3" borderId="0" xfId="0" applyNumberFormat="1" applyFont="1" applyFill="1" applyBorder="1"/>
    <xf numFmtId="0" fontId="15" fillId="8" borderId="0" xfId="0" applyFont="1" applyFill="1" applyBorder="1"/>
    <xf numFmtId="0" fontId="28" fillId="8" borderId="0" xfId="2" quotePrefix="1" applyFont="1" applyFill="1" applyBorder="1" applyAlignment="1">
      <alignment horizontal="right" vertical="center"/>
    </xf>
    <xf numFmtId="0" fontId="26" fillId="8" borderId="0" xfId="0" applyFont="1" applyFill="1" applyBorder="1"/>
    <xf numFmtId="0" fontId="4" fillId="8" borderId="0" xfId="0" applyFont="1" applyFill="1" applyBorder="1"/>
    <xf numFmtId="0" fontId="4" fillId="8" borderId="0" xfId="0" quotePrefix="1" applyFont="1" applyFill="1" applyBorder="1" applyAlignment="1">
      <alignment horizontal="right"/>
    </xf>
    <xf numFmtId="16" fontId="4" fillId="8" borderId="0" xfId="0" quotePrefix="1" applyNumberFormat="1" applyFont="1" applyFill="1" applyBorder="1" applyAlignment="1">
      <alignment horizontal="right"/>
    </xf>
    <xf numFmtId="0" fontId="4" fillId="8" borderId="33" xfId="0" applyFont="1" applyFill="1" applyBorder="1" applyAlignment="1">
      <alignment horizontal="right"/>
    </xf>
    <xf numFmtId="4" fontId="4" fillId="8" borderId="32" xfId="0" applyNumberFormat="1" applyFont="1" applyFill="1" applyBorder="1"/>
    <xf numFmtId="4" fontId="4" fillId="8" borderId="31" xfId="0" applyNumberFormat="1" applyFont="1" applyFill="1" applyBorder="1"/>
    <xf numFmtId="0" fontId="4" fillId="8" borderId="23" xfId="0" applyFont="1" applyFill="1" applyBorder="1" applyAlignment="1">
      <alignment horizontal="right"/>
    </xf>
    <xf numFmtId="4" fontId="4" fillId="8" borderId="0" xfId="0" applyNumberFormat="1" applyFont="1" applyFill="1" applyBorder="1"/>
    <xf numFmtId="0" fontId="3" fillId="8" borderId="0" xfId="2" applyFont="1" applyFill="1" applyBorder="1" applyAlignment="1">
      <alignment vertical="center" wrapText="1"/>
    </xf>
    <xf numFmtId="0" fontId="3" fillId="8" borderId="0" xfId="2" applyFont="1" applyFill="1" applyBorder="1" applyAlignment="1">
      <alignment horizontal="center" vertical="center" wrapText="1"/>
    </xf>
    <xf numFmtId="164" fontId="4" fillId="8" borderId="0" xfId="1" applyNumberFormat="1" applyFont="1" applyFill="1" applyBorder="1"/>
    <xf numFmtId="9" fontId="4" fillId="8" borderId="0" xfId="4" applyFont="1" applyFill="1" applyBorder="1"/>
    <xf numFmtId="10" fontId="4" fillId="8" borderId="0" xfId="4" applyNumberFormat="1" applyFont="1" applyFill="1" applyBorder="1"/>
    <xf numFmtId="3" fontId="4" fillId="8" borderId="32" xfId="0" applyNumberFormat="1" applyFont="1" applyFill="1" applyBorder="1"/>
    <xf numFmtId="3" fontId="4" fillId="8" borderId="31" xfId="0" applyNumberFormat="1" applyFont="1" applyFill="1" applyBorder="1"/>
    <xf numFmtId="3" fontId="4" fillId="8" borderId="26" xfId="0" applyNumberFormat="1" applyFont="1" applyFill="1" applyBorder="1"/>
    <xf numFmtId="3" fontId="4" fillId="8" borderId="0" xfId="0" applyNumberFormat="1" applyFont="1" applyFill="1" applyBorder="1"/>
    <xf numFmtId="0" fontId="14" fillId="8" borderId="0" xfId="0" applyFont="1" applyFill="1" applyBorder="1"/>
    <xf numFmtId="4" fontId="4" fillId="8" borderId="26" xfId="0" applyNumberFormat="1" applyFont="1" applyFill="1" applyBorder="1"/>
    <xf numFmtId="0" fontId="28" fillId="8" borderId="0" xfId="2" quotePrefix="1" applyFont="1" applyFill="1" applyBorder="1" applyAlignment="1">
      <alignment horizontal="left" vertical="center"/>
    </xf>
    <xf numFmtId="0" fontId="4" fillId="9" borderId="0" xfId="0" applyFont="1" applyFill="1" applyBorder="1"/>
    <xf numFmtId="0" fontId="3" fillId="9" borderId="0" xfId="0" applyFont="1" applyFill="1" applyBorder="1"/>
    <xf numFmtId="0" fontId="4" fillId="9" borderId="28" xfId="0" applyFont="1" applyFill="1" applyBorder="1" applyAlignment="1">
      <alignment horizontal="left"/>
    </xf>
    <xf numFmtId="0" fontId="15" fillId="9" borderId="0" xfId="0" applyFont="1" applyFill="1" applyBorder="1"/>
    <xf numFmtId="3" fontId="4" fillId="9" borderId="0" xfId="0" applyNumberFormat="1" applyFont="1" applyFill="1" applyBorder="1"/>
    <xf numFmtId="0" fontId="3" fillId="9" borderId="0" xfId="2" applyFont="1" applyFill="1" applyBorder="1" applyAlignment="1">
      <alignment vertical="center" wrapText="1"/>
    </xf>
    <xf numFmtId="0" fontId="3" fillId="9" borderId="0" xfId="2" applyFont="1" applyFill="1" applyBorder="1" applyAlignment="1">
      <alignment horizontal="center" vertical="center" wrapText="1"/>
    </xf>
    <xf numFmtId="164" fontId="4" fillId="9" borderId="0" xfId="1" applyNumberFormat="1" applyFont="1" applyFill="1" applyBorder="1"/>
    <xf numFmtId="9" fontId="4" fillId="9" borderId="0" xfId="4" applyFont="1" applyFill="1" applyBorder="1"/>
    <xf numFmtId="10" fontId="4" fillId="9" borderId="0" xfId="4" applyNumberFormat="1" applyFont="1" applyFill="1" applyBorder="1"/>
    <xf numFmtId="0" fontId="15" fillId="3" borderId="0" xfId="0" applyFont="1" applyFill="1" applyBorder="1" applyAlignment="1">
      <alignment horizontal="right"/>
    </xf>
    <xf numFmtId="0" fontId="4" fillId="3" borderId="0" xfId="0" applyFont="1" applyFill="1" applyBorder="1"/>
    <xf numFmtId="0" fontId="4" fillId="9" borderId="33" xfId="0" quotePrefix="1" applyFont="1" applyFill="1" applyBorder="1" applyAlignment="1">
      <alignment horizontal="right"/>
    </xf>
    <xf numFmtId="0" fontId="4" fillId="3" borderId="23" xfId="0" quotePrefix="1" applyFont="1" applyFill="1" applyBorder="1" applyAlignment="1">
      <alignment horizontal="right"/>
    </xf>
    <xf numFmtId="0" fontId="4" fillId="9" borderId="23" xfId="0" quotePrefix="1" applyFont="1" applyFill="1" applyBorder="1" applyAlignment="1">
      <alignment horizontal="right"/>
    </xf>
    <xf numFmtId="16" fontId="4" fillId="9" borderId="23" xfId="0" quotePrefix="1" applyNumberFormat="1" applyFont="1" applyFill="1" applyBorder="1" applyAlignment="1">
      <alignment horizontal="right"/>
    </xf>
    <xf numFmtId="3" fontId="4" fillId="4" borderId="6" xfId="5" applyNumberFormat="1" applyFont="1" applyFill="1" applyBorder="1" applyAlignment="1">
      <alignment vertical="center" wrapText="1"/>
    </xf>
    <xf numFmtId="3" fontId="4" fillId="4" borderId="7" xfId="5" applyNumberFormat="1" applyFont="1" applyFill="1" applyBorder="1" applyAlignment="1">
      <alignment vertical="center" wrapText="1"/>
    </xf>
    <xf numFmtId="3" fontId="4" fillId="0" borderId="18" xfId="5" applyNumberFormat="1" applyFont="1" applyFill="1" applyBorder="1" applyAlignment="1">
      <alignment vertical="center"/>
    </xf>
    <xf numFmtId="0" fontId="6" fillId="4" borderId="0" xfId="0" applyFont="1" applyFill="1" applyBorder="1"/>
    <xf numFmtId="3" fontId="4" fillId="4" borderId="1" xfId="5" applyNumberFormat="1" applyFont="1" applyFill="1" applyBorder="1" applyAlignment="1">
      <alignment vertical="center" wrapText="1"/>
    </xf>
    <xf numFmtId="3" fontId="4" fillId="4" borderId="22" xfId="5" applyNumberFormat="1" applyFont="1" applyFill="1" applyBorder="1" applyAlignment="1">
      <alignment vertical="center" wrapText="1"/>
    </xf>
    <xf numFmtId="3" fontId="6" fillId="4" borderId="26" xfId="5" applyNumberFormat="1" applyFont="1" applyFill="1" applyBorder="1" applyAlignment="1">
      <alignment vertical="center" wrapText="1"/>
    </xf>
    <xf numFmtId="3" fontId="6" fillId="4" borderId="23" xfId="5" applyNumberFormat="1" applyFont="1" applyFill="1" applyBorder="1" applyAlignment="1">
      <alignment vertical="center" wrapText="1"/>
    </xf>
    <xf numFmtId="3" fontId="6" fillId="4" borderId="18" xfId="5" applyNumberFormat="1" applyFont="1" applyFill="1" applyBorder="1" applyAlignment="1">
      <alignment vertical="center" wrapText="1"/>
    </xf>
    <xf numFmtId="3" fontId="6" fillId="0" borderId="10" xfId="5" applyNumberFormat="1" applyFont="1" applyFill="1" applyBorder="1" applyAlignment="1">
      <alignment horizontal="center" vertical="center" wrapText="1"/>
    </xf>
    <xf numFmtId="0" fontId="9" fillId="2" borderId="0" xfId="0" applyFont="1" applyFill="1"/>
    <xf numFmtId="0" fontId="29" fillId="10" borderId="0" xfId="0" applyFont="1" applyFill="1"/>
    <xf numFmtId="0" fontId="0" fillId="10" borderId="0" xfId="0" applyFill="1"/>
    <xf numFmtId="0" fontId="0" fillId="10" borderId="34" xfId="0" applyFill="1" applyBorder="1"/>
    <xf numFmtId="0" fontId="30" fillId="10" borderId="0" xfId="0" applyFont="1" applyFill="1" applyAlignment="1">
      <alignment horizontal="left" indent="6"/>
    </xf>
    <xf numFmtId="0" fontId="31" fillId="10" borderId="0" xfId="0" applyFont="1" applyFill="1"/>
    <xf numFmtId="0" fontId="32" fillId="10" borderId="0" xfId="0" applyFont="1" applyFill="1" applyAlignment="1">
      <alignment horizontal="left" indent="2"/>
    </xf>
    <xf numFmtId="0" fontId="0" fillId="10" borderId="39" xfId="0" applyFill="1" applyBorder="1"/>
    <xf numFmtId="165" fontId="0" fillId="10" borderId="0" xfId="0" applyNumberFormat="1" applyFill="1"/>
    <xf numFmtId="3" fontId="4" fillId="10" borderId="0" xfId="0" applyNumberFormat="1" applyFont="1" applyFill="1" applyBorder="1"/>
    <xf numFmtId="9" fontId="4" fillId="10" borderId="0" xfId="0" applyNumberFormat="1" applyFont="1" applyFill="1" applyBorder="1"/>
    <xf numFmtId="0" fontId="0" fillId="3" borderId="0" xfId="0" applyFill="1"/>
    <xf numFmtId="0" fontId="29" fillId="11" borderId="0" xfId="0" applyFont="1" applyFill="1"/>
    <xf numFmtId="0" fontId="29" fillId="11" borderId="0" xfId="0" applyFont="1" applyFill="1" applyAlignment="1">
      <alignment wrapText="1"/>
    </xf>
    <xf numFmtId="0" fontId="0" fillId="11" borderId="0" xfId="0" applyFill="1"/>
    <xf numFmtId="0" fontId="33" fillId="11" borderId="35" xfId="0" applyFont="1" applyFill="1" applyBorder="1" applyAlignment="1"/>
    <xf numFmtId="0" fontId="29" fillId="11" borderId="0" xfId="0" applyFont="1" applyFill="1" applyBorder="1" applyAlignment="1">
      <alignment wrapText="1"/>
    </xf>
    <xf numFmtId="0" fontId="29" fillId="11" borderId="36" xfId="0" applyFont="1" applyFill="1" applyBorder="1" applyAlignment="1">
      <alignment wrapText="1"/>
    </xf>
    <xf numFmtId="0" fontId="29" fillId="11" borderId="35" xfId="0" applyFont="1" applyFill="1" applyBorder="1" applyAlignment="1">
      <alignment horizontal="right" wrapText="1"/>
    </xf>
    <xf numFmtId="0" fontId="29" fillId="11" borderId="0" xfId="0" applyFont="1" applyFill="1" applyBorder="1" applyAlignment="1">
      <alignment horizontal="right" wrapText="1"/>
    </xf>
    <xf numFmtId="0" fontId="29" fillId="11" borderId="36" xfId="0" applyFont="1" applyFill="1" applyBorder="1" applyAlignment="1">
      <alignment horizontal="right" wrapText="1"/>
    </xf>
    <xf numFmtId="0" fontId="29" fillId="11" borderId="0" xfId="0" applyFont="1" applyFill="1" applyAlignment="1">
      <alignment horizontal="right" wrapText="1"/>
    </xf>
    <xf numFmtId="0" fontId="0" fillId="11" borderId="34" xfId="0" applyFill="1" applyBorder="1"/>
    <xf numFmtId="3" fontId="0" fillId="11" borderId="37" xfId="0" applyNumberFormat="1" applyFill="1" applyBorder="1"/>
    <xf numFmtId="3" fontId="0" fillId="11" borderId="34" xfId="0" applyNumberFormat="1" applyFill="1" applyBorder="1"/>
    <xf numFmtId="3" fontId="0" fillId="11" borderId="38" xfId="0" applyNumberFormat="1" applyFill="1" applyBorder="1"/>
    <xf numFmtId="165" fontId="0" fillId="11" borderId="37" xfId="0" applyNumberFormat="1" applyFont="1" applyFill="1" applyBorder="1"/>
    <xf numFmtId="165" fontId="0" fillId="11" borderId="34" xfId="0" applyNumberFormat="1" applyFill="1" applyBorder="1"/>
    <xf numFmtId="4" fontId="0" fillId="11" borderId="38" xfId="0" applyNumberFormat="1" applyFill="1" applyBorder="1"/>
    <xf numFmtId="9" fontId="0" fillId="11" borderId="37" xfId="0" applyNumberFormat="1" applyFill="1" applyBorder="1"/>
    <xf numFmtId="3" fontId="0" fillId="11" borderId="35" xfId="0" applyNumberFormat="1" applyFill="1" applyBorder="1"/>
    <xf numFmtId="3" fontId="0" fillId="11" borderId="0" xfId="0" applyNumberFormat="1" applyFill="1" applyBorder="1"/>
    <xf numFmtId="3" fontId="0" fillId="11" borderId="36" xfId="0" applyNumberFormat="1" applyFill="1" applyBorder="1"/>
    <xf numFmtId="165" fontId="0" fillId="11" borderId="35" xfId="0" applyNumberFormat="1" applyFont="1" applyFill="1" applyBorder="1"/>
    <xf numFmtId="165" fontId="0" fillId="11" borderId="0" xfId="0" applyNumberFormat="1" applyFill="1" applyBorder="1"/>
    <xf numFmtId="4" fontId="0" fillId="11" borderId="36" xfId="0" applyNumberFormat="1" applyFill="1" applyBorder="1"/>
    <xf numFmtId="9" fontId="0" fillId="11" borderId="35" xfId="0" applyNumberFormat="1" applyFill="1" applyBorder="1"/>
    <xf numFmtId="165" fontId="0" fillId="11" borderId="41" xfId="0" applyNumberFormat="1" applyFont="1" applyFill="1" applyBorder="1"/>
    <xf numFmtId="165" fontId="0" fillId="11" borderId="39" xfId="0" applyNumberFormat="1" applyFill="1" applyBorder="1"/>
    <xf numFmtId="4" fontId="0" fillId="11" borderId="40" xfId="0" applyNumberFormat="1" applyFill="1" applyBorder="1"/>
    <xf numFmtId="0" fontId="29" fillId="11" borderId="34" xfId="0" applyFont="1" applyFill="1" applyBorder="1"/>
    <xf numFmtId="3" fontId="29" fillId="11" borderId="37" xfId="0" applyNumberFormat="1" applyFont="1" applyFill="1" applyBorder="1"/>
    <xf numFmtId="3" fontId="29" fillId="11" borderId="34" xfId="0" applyNumberFormat="1" applyFont="1" applyFill="1" applyBorder="1"/>
    <xf numFmtId="3" fontId="29" fillId="11" borderId="38" xfId="0" applyNumberFormat="1" applyFont="1" applyFill="1" applyBorder="1"/>
    <xf numFmtId="166" fontId="29" fillId="11" borderId="37" xfId="0" applyNumberFormat="1" applyFont="1" applyFill="1" applyBorder="1"/>
    <xf numFmtId="166" fontId="29" fillId="11" borderId="34" xfId="0" applyNumberFormat="1" applyFont="1" applyFill="1" applyBorder="1"/>
    <xf numFmtId="2" fontId="29" fillId="11" borderId="38" xfId="0" applyNumberFormat="1" applyFont="1" applyFill="1" applyBorder="1"/>
    <xf numFmtId="9" fontId="29" fillId="11" borderId="37" xfId="0" applyNumberFormat="1" applyFont="1" applyFill="1" applyBorder="1"/>
    <xf numFmtId="3" fontId="4" fillId="10" borderId="35" xfId="0" applyNumberFormat="1" applyFont="1" applyFill="1" applyBorder="1"/>
    <xf numFmtId="0" fontId="4" fillId="10" borderId="0" xfId="5" applyFont="1" applyFill="1" applyBorder="1" applyAlignment="1">
      <alignment horizontal="right" vertical="center"/>
    </xf>
    <xf numFmtId="0" fontId="4" fillId="10" borderId="39" xfId="0" applyFont="1" applyFill="1" applyBorder="1" applyAlignment="1"/>
    <xf numFmtId="0" fontId="4" fillId="10" borderId="41" xfId="0" applyFont="1" applyFill="1" applyBorder="1" applyAlignment="1">
      <alignment horizontal="right" wrapText="1"/>
    </xf>
    <xf numFmtId="0" fontId="4" fillId="10" borderId="39" xfId="0" applyFont="1" applyFill="1" applyBorder="1" applyAlignment="1">
      <alignment horizontal="right" wrapText="1"/>
    </xf>
    <xf numFmtId="0" fontId="4" fillId="10" borderId="39" xfId="0" applyFont="1" applyFill="1" applyBorder="1" applyAlignment="1">
      <alignment horizontal="right"/>
    </xf>
    <xf numFmtId="9" fontId="4" fillId="10" borderId="0" xfId="4" applyFont="1" applyFill="1" applyBorder="1"/>
    <xf numFmtId="3" fontId="4" fillId="10" borderId="39" xfId="0" applyNumberFormat="1" applyFont="1" applyFill="1" applyBorder="1"/>
    <xf numFmtId="0" fontId="4" fillId="10" borderId="0" xfId="0" applyFont="1" applyFill="1" applyBorder="1" applyAlignment="1">
      <alignment horizontal="right"/>
    </xf>
    <xf numFmtId="0" fontId="4" fillId="10" borderId="41" xfId="0" applyFont="1" applyFill="1" applyBorder="1" applyAlignment="1">
      <alignment horizontal="right"/>
    </xf>
    <xf numFmtId="0" fontId="4" fillId="10" borderId="40" xfId="0" applyFont="1" applyFill="1" applyBorder="1" applyAlignment="1">
      <alignment horizontal="right"/>
    </xf>
    <xf numFmtId="3" fontId="4" fillId="10" borderId="36" xfId="0" applyNumberFormat="1" applyFont="1" applyFill="1" applyBorder="1"/>
    <xf numFmtId="3" fontId="4" fillId="10" borderId="41" xfId="0" applyNumberFormat="1" applyFont="1" applyFill="1" applyBorder="1"/>
    <xf numFmtId="3" fontId="4" fillId="10" borderId="40" xfId="0" applyNumberFormat="1" applyFont="1" applyFill="1" applyBorder="1"/>
    <xf numFmtId="9" fontId="4" fillId="10" borderId="35" xfId="4" applyFont="1" applyFill="1" applyBorder="1"/>
    <xf numFmtId="9" fontId="4" fillId="10" borderId="36" xfId="4" applyFont="1" applyFill="1" applyBorder="1"/>
    <xf numFmtId="0" fontId="34" fillId="4" borderId="0" xfId="0" applyFont="1" applyFill="1" applyBorder="1" applyAlignment="1">
      <alignment horizontal="right"/>
    </xf>
    <xf numFmtId="3" fontId="35" fillId="4" borderId="0" xfId="0" applyNumberFormat="1" applyFont="1" applyFill="1" applyBorder="1" applyAlignment="1">
      <alignment horizontal="right"/>
    </xf>
    <xf numFmtId="0" fontId="34" fillId="4" borderId="0" xfId="0" applyFont="1" applyFill="1" applyBorder="1"/>
    <xf numFmtId="3" fontId="0" fillId="10" borderId="0" xfId="0" applyNumberFormat="1" applyFill="1"/>
    <xf numFmtId="165" fontId="0" fillId="10" borderId="35" xfId="0" applyNumberFormat="1" applyFill="1" applyBorder="1"/>
    <xf numFmtId="165" fontId="0" fillId="10" borderId="37" xfId="0" applyNumberFormat="1" applyFill="1" applyBorder="1"/>
    <xf numFmtId="165" fontId="0" fillId="10" borderId="34" xfId="0" applyNumberFormat="1" applyFill="1" applyBorder="1"/>
    <xf numFmtId="9" fontId="0" fillId="10" borderId="37" xfId="0" applyNumberFormat="1" applyFill="1" applyBorder="1"/>
    <xf numFmtId="165" fontId="0" fillId="10" borderId="0" xfId="0" applyNumberFormat="1" applyFill="1" applyBorder="1"/>
    <xf numFmtId="0" fontId="36" fillId="4" borderId="0" xfId="0" applyFont="1" applyFill="1"/>
    <xf numFmtId="0" fontId="36" fillId="4" borderId="0" xfId="0" applyFont="1" applyFill="1" applyAlignment="1">
      <alignment wrapText="1"/>
    </xf>
    <xf numFmtId="0" fontId="37" fillId="4" borderId="0" xfId="0" applyFont="1" applyFill="1"/>
    <xf numFmtId="0" fontId="38" fillId="4" borderId="35" xfId="0" applyFont="1" applyFill="1" applyBorder="1" applyAlignment="1"/>
    <xf numFmtId="0" fontId="36" fillId="4" borderId="0" xfId="0" applyFont="1" applyFill="1" applyBorder="1" applyAlignment="1">
      <alignment wrapText="1"/>
    </xf>
    <xf numFmtId="0" fontId="36" fillId="4" borderId="36" xfId="0" applyFont="1" applyFill="1" applyBorder="1" applyAlignment="1">
      <alignment wrapText="1"/>
    </xf>
    <xf numFmtId="0" fontId="36" fillId="4" borderId="35" xfId="0" applyFont="1" applyFill="1" applyBorder="1" applyAlignment="1">
      <alignment horizontal="right" wrapText="1"/>
    </xf>
    <xf numFmtId="0" fontId="36" fillId="4" borderId="0" xfId="0" applyFont="1" applyFill="1" applyBorder="1" applyAlignment="1">
      <alignment horizontal="right" wrapText="1"/>
    </xf>
    <xf numFmtId="0" fontId="36" fillId="4" borderId="36" xfId="0" applyFont="1" applyFill="1" applyBorder="1" applyAlignment="1">
      <alignment horizontal="right" wrapText="1"/>
    </xf>
    <xf numFmtId="0" fontId="36" fillId="4" borderId="0" xfId="0" applyFont="1" applyFill="1" applyAlignment="1">
      <alignment horizontal="right" wrapText="1"/>
    </xf>
    <xf numFmtId="0" fontId="37" fillId="4" borderId="34" xfId="0" applyFont="1" applyFill="1" applyBorder="1"/>
    <xf numFmtId="3" fontId="37" fillId="4" borderId="37" xfId="0" applyNumberFormat="1" applyFont="1" applyFill="1" applyBorder="1"/>
    <xf numFmtId="3" fontId="37" fillId="4" borderId="34" xfId="0" applyNumberFormat="1" applyFont="1" applyFill="1" applyBorder="1"/>
    <xf numFmtId="3" fontId="37" fillId="4" borderId="38" xfId="0" applyNumberFormat="1" applyFont="1" applyFill="1" applyBorder="1"/>
    <xf numFmtId="165" fontId="37" fillId="4" borderId="37" xfId="0" applyNumberFormat="1" applyFont="1" applyFill="1" applyBorder="1"/>
    <xf numFmtId="165" fontId="37" fillId="4" borderId="34" xfId="0" applyNumberFormat="1" applyFont="1" applyFill="1" applyBorder="1"/>
    <xf numFmtId="4" fontId="37" fillId="4" borderId="38" xfId="0" applyNumberFormat="1" applyFont="1" applyFill="1" applyBorder="1"/>
    <xf numFmtId="9" fontId="37" fillId="4" borderId="37" xfId="0" applyNumberFormat="1" applyFont="1" applyFill="1" applyBorder="1"/>
    <xf numFmtId="3" fontId="37" fillId="4" borderId="35" xfId="0" applyNumberFormat="1" applyFont="1" applyFill="1" applyBorder="1"/>
    <xf numFmtId="3" fontId="37" fillId="4" borderId="0" xfId="0" applyNumberFormat="1" applyFont="1" applyFill="1" applyBorder="1"/>
    <xf numFmtId="3" fontId="37" fillId="4" borderId="36" xfId="0" applyNumberFormat="1" applyFont="1" applyFill="1" applyBorder="1"/>
    <xf numFmtId="165" fontId="37" fillId="4" borderId="35" xfId="0" applyNumberFormat="1" applyFont="1" applyFill="1" applyBorder="1"/>
    <xf numFmtId="165" fontId="37" fillId="4" borderId="0" xfId="0" applyNumberFormat="1" applyFont="1" applyFill="1" applyBorder="1"/>
    <xf numFmtId="4" fontId="37" fillId="4" borderId="36" xfId="0" applyNumberFormat="1" applyFont="1" applyFill="1" applyBorder="1"/>
    <xf numFmtId="9" fontId="37" fillId="4" borderId="35" xfId="0" applyNumberFormat="1" applyFont="1" applyFill="1" applyBorder="1"/>
    <xf numFmtId="165" fontId="37" fillId="4" borderId="41" xfId="0" applyNumberFormat="1" applyFont="1" applyFill="1" applyBorder="1"/>
    <xf numFmtId="165" fontId="37" fillId="4" borderId="39" xfId="0" applyNumberFormat="1" applyFont="1" applyFill="1" applyBorder="1"/>
    <xf numFmtId="4" fontId="37" fillId="4" borderId="40" xfId="0" applyNumberFormat="1" applyFont="1" applyFill="1" applyBorder="1"/>
    <xf numFmtId="0" fontId="36" fillId="4" borderId="34" xfId="0" applyFont="1" applyFill="1" applyBorder="1"/>
    <xf numFmtId="3" fontId="36" fillId="4" borderId="37" xfId="0" applyNumberFormat="1" applyFont="1" applyFill="1" applyBorder="1"/>
    <xf numFmtId="3" fontId="36" fillId="4" borderId="34" xfId="0" applyNumberFormat="1" applyFont="1" applyFill="1" applyBorder="1"/>
    <xf numFmtId="3" fontId="36" fillId="4" borderId="38" xfId="0" applyNumberFormat="1" applyFont="1" applyFill="1" applyBorder="1"/>
    <xf numFmtId="166" fontId="36" fillId="4" borderId="37" xfId="0" applyNumberFormat="1" applyFont="1" applyFill="1" applyBorder="1"/>
    <xf numFmtId="166" fontId="36" fillId="4" borderId="34" xfId="0" applyNumberFormat="1" applyFont="1" applyFill="1" applyBorder="1"/>
    <xf numFmtId="2" fontId="36" fillId="4" borderId="38" xfId="0" applyNumberFormat="1" applyFont="1" applyFill="1" applyBorder="1"/>
    <xf numFmtId="9" fontId="36" fillId="4" borderId="37" xfId="0" applyNumberFormat="1" applyFont="1" applyFill="1" applyBorder="1"/>
    <xf numFmtId="9" fontId="0" fillId="10" borderId="34" xfId="0" applyNumberFormat="1" applyFill="1" applyBorder="1"/>
    <xf numFmtId="165" fontId="0" fillId="3" borderId="34" xfId="0" applyNumberFormat="1" applyFill="1" applyBorder="1"/>
    <xf numFmtId="165" fontId="0" fillId="3" borderId="0" xfId="0" applyNumberFormat="1" applyFill="1" applyBorder="1"/>
    <xf numFmtId="9" fontId="0" fillId="3" borderId="34" xfId="0" applyNumberFormat="1" applyFill="1" applyBorder="1"/>
    <xf numFmtId="0" fontId="0" fillId="10" borderId="0" xfId="0" applyFill="1" applyBorder="1"/>
    <xf numFmtId="0" fontId="0" fillId="10" borderId="36" xfId="0" applyFill="1" applyBorder="1"/>
    <xf numFmtId="0" fontId="0" fillId="10" borderId="41" xfId="0" applyFill="1" applyBorder="1" applyAlignment="1">
      <alignment horizontal="right"/>
    </xf>
    <xf numFmtId="0" fontId="0" fillId="3" borderId="39" xfId="0" applyFill="1" applyBorder="1" applyAlignment="1">
      <alignment horizontal="right"/>
    </xf>
    <xf numFmtId="0" fontId="0" fillId="10" borderId="39" xfId="0" applyFill="1" applyBorder="1" applyAlignment="1">
      <alignment horizontal="right"/>
    </xf>
    <xf numFmtId="0" fontId="0" fillId="10" borderId="40" xfId="0" applyFill="1" applyBorder="1" applyAlignment="1">
      <alignment horizontal="right"/>
    </xf>
    <xf numFmtId="0" fontId="0" fillId="10" borderId="0" xfId="0" applyFill="1" applyAlignment="1">
      <alignment horizontal="right"/>
    </xf>
    <xf numFmtId="3" fontId="37" fillId="4" borderId="41" xfId="0" applyNumberFormat="1" applyFont="1" applyFill="1" applyBorder="1"/>
    <xf numFmtId="3" fontId="37" fillId="4" borderId="39" xfId="0" applyNumberFormat="1" applyFont="1" applyFill="1" applyBorder="1"/>
    <xf numFmtId="3" fontId="37" fillId="4" borderId="40" xfId="0" applyNumberFormat="1" applyFont="1" applyFill="1" applyBorder="1"/>
    <xf numFmtId="9" fontId="37" fillId="4" borderId="41" xfId="0" applyNumberFormat="1" applyFont="1" applyFill="1" applyBorder="1"/>
    <xf numFmtId="4" fontId="0" fillId="11" borderId="0" xfId="0" applyNumberFormat="1" applyFill="1" applyBorder="1"/>
    <xf numFmtId="4" fontId="0" fillId="11" borderId="0" xfId="0" applyNumberFormat="1" applyFill="1" applyBorder="1" applyAlignment="1">
      <alignment horizontal="right"/>
    </xf>
    <xf numFmtId="0" fontId="39" fillId="10" borderId="0" xfId="0" applyFont="1" applyFill="1"/>
    <xf numFmtId="0" fontId="39" fillId="10" borderId="0" xfId="0" applyFont="1" applyFill="1" applyAlignment="1">
      <alignment wrapText="1"/>
    </xf>
    <xf numFmtId="0" fontId="40" fillId="10" borderId="0" xfId="0" applyFont="1" applyFill="1"/>
    <xf numFmtId="0" fontId="41" fillId="10" borderId="35" xfId="0" applyFont="1" applyFill="1" applyBorder="1" applyAlignment="1"/>
    <xf numFmtId="0" fontId="39" fillId="10" borderId="0" xfId="0" applyFont="1" applyFill="1" applyBorder="1" applyAlignment="1">
      <alignment wrapText="1"/>
    </xf>
    <xf numFmtId="0" fontId="39" fillId="10" borderId="36" xfId="0" applyFont="1" applyFill="1" applyBorder="1" applyAlignment="1">
      <alignment wrapText="1"/>
    </xf>
    <xf numFmtId="0" fontId="40" fillId="10" borderId="34" xfId="0" applyFont="1" applyFill="1" applyBorder="1"/>
    <xf numFmtId="165" fontId="40" fillId="10" borderId="37" xfId="0" applyNumberFormat="1" applyFont="1" applyFill="1" applyBorder="1"/>
    <xf numFmtId="165" fontId="40" fillId="10" borderId="34" xfId="0" applyNumberFormat="1" applyFont="1" applyFill="1" applyBorder="1"/>
    <xf numFmtId="9" fontId="40" fillId="10" borderId="37" xfId="0" applyNumberFormat="1" applyFont="1" applyFill="1" applyBorder="1"/>
    <xf numFmtId="165" fontId="40" fillId="10" borderId="35" xfId="0" applyNumberFormat="1" applyFont="1" applyFill="1" applyBorder="1"/>
    <xf numFmtId="165" fontId="40" fillId="10" borderId="0" xfId="0" applyNumberFormat="1" applyFont="1" applyFill="1" applyBorder="1"/>
    <xf numFmtId="9" fontId="40" fillId="10" borderId="35" xfId="0" applyNumberFormat="1" applyFont="1" applyFill="1" applyBorder="1"/>
    <xf numFmtId="165" fontId="40" fillId="10" borderId="41" xfId="0" applyNumberFormat="1" applyFont="1" applyFill="1" applyBorder="1"/>
    <xf numFmtId="165" fontId="40" fillId="10" borderId="39" xfId="0" applyNumberFormat="1" applyFont="1" applyFill="1" applyBorder="1"/>
    <xf numFmtId="0" fontId="39" fillId="10" borderId="34" xfId="0" applyFont="1" applyFill="1" applyBorder="1"/>
    <xf numFmtId="3" fontId="39" fillId="10" borderId="37" xfId="0" applyNumberFormat="1" applyFont="1" applyFill="1" applyBorder="1"/>
    <xf numFmtId="3" fontId="39" fillId="10" borderId="34" xfId="0" applyNumberFormat="1" applyFont="1" applyFill="1" applyBorder="1"/>
    <xf numFmtId="3" fontId="39" fillId="10" borderId="38" xfId="0" applyNumberFormat="1" applyFont="1" applyFill="1" applyBorder="1"/>
    <xf numFmtId="9" fontId="39" fillId="10" borderId="37" xfId="0" applyNumberFormat="1" applyFont="1" applyFill="1" applyBorder="1"/>
    <xf numFmtId="0" fontId="39" fillId="10" borderId="35" xfId="0" applyFont="1" applyFill="1" applyBorder="1" applyAlignment="1">
      <alignment horizontal="left"/>
    </xf>
    <xf numFmtId="0" fontId="39" fillId="10" borderId="0" xfId="0" applyFont="1" applyFill="1" applyBorder="1" applyAlignment="1">
      <alignment horizontal="left" wrapText="1"/>
    </xf>
    <xf numFmtId="0" fontId="39" fillId="10" borderId="36" xfId="0" applyFont="1" applyFill="1" applyBorder="1" applyAlignment="1">
      <alignment horizontal="left"/>
    </xf>
    <xf numFmtId="9" fontId="40" fillId="10" borderId="41" xfId="0" applyNumberFormat="1" applyFont="1" applyFill="1" applyBorder="1"/>
    <xf numFmtId="0" fontId="0" fillId="12" borderId="0" xfId="0" applyFill="1"/>
    <xf numFmtId="9" fontId="0" fillId="10" borderId="0" xfId="4" applyFont="1" applyFill="1"/>
    <xf numFmtId="1" fontId="0" fillId="10" borderId="0" xfId="0" applyNumberFormat="1" applyFill="1"/>
    <xf numFmtId="9" fontId="0" fillId="10" borderId="0" xfId="0" applyNumberFormat="1" applyFill="1"/>
    <xf numFmtId="0" fontId="0" fillId="12" borderId="0" xfId="0" applyFill="1" applyAlignment="1">
      <alignment wrapText="1"/>
    </xf>
    <xf numFmtId="0" fontId="0" fillId="10" borderId="0" xfId="0" applyFill="1" applyAlignment="1">
      <alignment wrapText="1"/>
    </xf>
    <xf numFmtId="0" fontId="42" fillId="12" borderId="0" xfId="0" applyFont="1" applyFill="1"/>
    <xf numFmtId="9" fontId="0" fillId="12" borderId="0" xfId="4" applyFont="1" applyFill="1"/>
    <xf numFmtId="14" fontId="0" fillId="12" borderId="0" xfId="0" applyNumberFormat="1" applyFill="1" applyAlignment="1">
      <alignment wrapText="1"/>
    </xf>
    <xf numFmtId="0" fontId="0" fillId="0" borderId="0" xfId="0" applyFill="1"/>
    <xf numFmtId="6" fontId="43" fillId="0" borderId="0" xfId="0" applyNumberFormat="1" applyFont="1" applyFill="1"/>
    <xf numFmtId="168" fontId="43" fillId="0" borderId="0" xfId="0" applyNumberFormat="1" applyFont="1" applyFill="1"/>
    <xf numFmtId="164" fontId="0" fillId="0" borderId="0" xfId="1" applyNumberFormat="1" applyFont="1" applyFill="1"/>
    <xf numFmtId="164" fontId="0" fillId="0" borderId="0" xfId="0" applyNumberFormat="1" applyFill="1"/>
    <xf numFmtId="3" fontId="0" fillId="0" borderId="0" xfId="0" applyNumberFormat="1" applyFill="1" applyAlignment="1">
      <alignment horizontal="right"/>
    </xf>
    <xf numFmtId="164" fontId="0" fillId="0" borderId="0" xfId="1" applyNumberFormat="1" applyFont="1" applyFill="1" applyAlignment="1">
      <alignment horizontal="right"/>
    </xf>
    <xf numFmtId="167" fontId="0" fillId="0" borderId="0" xfId="9" applyNumberFormat="1" applyFont="1" applyFill="1" applyAlignment="1">
      <alignment horizontal="right"/>
    </xf>
    <xf numFmtId="9" fontId="0" fillId="0" borderId="0" xfId="0" applyNumberFormat="1" applyFill="1"/>
    <xf numFmtId="9" fontId="0" fillId="12" borderId="0" xfId="0" applyNumberFormat="1" applyFill="1"/>
    <xf numFmtId="0" fontId="0" fillId="12" borderId="0" xfId="0" applyFill="1" applyAlignment="1">
      <alignment horizontal="center"/>
    </xf>
    <xf numFmtId="14" fontId="0" fillId="12" borderId="0" xfId="0" applyNumberFormat="1" applyFill="1"/>
    <xf numFmtId="3" fontId="6" fillId="0" borderId="10" xfId="5" applyNumberFormat="1" applyFont="1" applyFill="1" applyBorder="1" applyAlignment="1">
      <alignment horizontal="center" vertical="center" wrapText="1"/>
    </xf>
    <xf numFmtId="0" fontId="6" fillId="0" borderId="10" xfId="5" applyFont="1" applyFill="1" applyBorder="1" applyAlignment="1">
      <alignment horizontal="center" vertical="center" wrapText="1"/>
    </xf>
    <xf numFmtId="0" fontId="44" fillId="10" borderId="0" xfId="0" applyFont="1" applyFill="1"/>
    <xf numFmtId="0" fontId="4" fillId="4" borderId="7" xfId="5" applyFont="1" applyFill="1" applyBorder="1" applyAlignment="1">
      <alignment vertical="center"/>
    </xf>
    <xf numFmtId="0" fontId="19" fillId="7" borderId="3" xfId="0" applyFont="1" applyFill="1" applyBorder="1" applyAlignment="1">
      <alignment horizontal="left"/>
    </xf>
    <xf numFmtId="0" fontId="19" fillId="6" borderId="3" xfId="0" applyFont="1" applyFill="1" applyBorder="1" applyAlignment="1">
      <alignment horizontal="left"/>
    </xf>
    <xf numFmtId="4" fontId="0" fillId="10" borderId="35" xfId="0" applyNumberFormat="1" applyFill="1" applyBorder="1"/>
    <xf numFmtId="4" fontId="0" fillId="3" borderId="0" xfId="0" applyNumberFormat="1" applyFill="1" applyBorder="1"/>
    <xf numFmtId="4" fontId="0" fillId="10" borderId="0" xfId="0" applyNumberFormat="1" applyFill="1" applyBorder="1"/>
    <xf numFmtId="4" fontId="0" fillId="10" borderId="41" xfId="0" applyNumberFormat="1" applyFill="1" applyBorder="1"/>
    <xf numFmtId="4" fontId="0" fillId="3" borderId="39" xfId="0" applyNumberFormat="1" applyFill="1" applyBorder="1"/>
    <xf numFmtId="4" fontId="0" fillId="10" borderId="39" xfId="0" applyNumberFormat="1" applyFill="1" applyBorder="1"/>
    <xf numFmtId="4" fontId="0" fillId="3" borderId="34" xfId="0" applyNumberFormat="1" applyFill="1" applyBorder="1"/>
    <xf numFmtId="4" fontId="0" fillId="10" borderId="34" xfId="0" applyNumberFormat="1" applyFill="1" applyBorder="1"/>
    <xf numFmtId="4" fontId="0" fillId="10" borderId="0" xfId="0" applyNumberFormat="1" applyFill="1"/>
    <xf numFmtId="4" fontId="0" fillId="3" borderId="0" xfId="0" applyNumberFormat="1" applyFill="1"/>
    <xf numFmtId="170" fontId="0" fillId="10" borderId="35" xfId="0" applyNumberFormat="1" applyFill="1" applyBorder="1"/>
    <xf numFmtId="170" fontId="0" fillId="3" borderId="39" xfId="0" applyNumberFormat="1" applyFill="1" applyBorder="1"/>
    <xf numFmtId="170" fontId="0" fillId="10" borderId="39" xfId="0" applyNumberFormat="1" applyFill="1" applyBorder="1"/>
    <xf numFmtId="9" fontId="4" fillId="8" borderId="31" xfId="4" applyFont="1" applyFill="1" applyBorder="1"/>
    <xf numFmtId="3" fontId="6" fillId="0" borderId="18" xfId="5" applyNumberFormat="1" applyFont="1" applyFill="1" applyBorder="1" applyAlignment="1">
      <alignment vertical="center"/>
    </xf>
    <xf numFmtId="3" fontId="4" fillId="0" borderId="27" xfId="5" applyNumberFormat="1" applyFont="1" applyFill="1" applyBorder="1" applyAlignment="1">
      <alignment vertical="center"/>
    </xf>
    <xf numFmtId="0" fontId="18" fillId="5" borderId="12" xfId="0" applyFont="1" applyFill="1" applyBorder="1" applyAlignment="1"/>
    <xf numFmtId="0" fontId="46" fillId="2" borderId="0" xfId="0" applyFont="1" applyFill="1" applyBorder="1" applyAlignment="1"/>
    <xf numFmtId="0" fontId="3" fillId="4" borderId="14" xfId="0" applyFont="1" applyFill="1" applyBorder="1" applyAlignment="1">
      <alignment vertical="center"/>
    </xf>
    <xf numFmtId="0" fontId="3" fillId="4" borderId="14" xfId="2" applyFont="1" applyFill="1" applyBorder="1" applyAlignment="1">
      <alignment vertical="center"/>
    </xf>
    <xf numFmtId="0" fontId="4" fillId="4" borderId="11" xfId="2" applyFont="1" applyFill="1" applyBorder="1" applyAlignment="1">
      <alignment horizontal="center" vertical="center"/>
    </xf>
    <xf numFmtId="0" fontId="4" fillId="0" borderId="12" xfId="5" applyFont="1" applyFill="1" applyBorder="1" applyAlignment="1">
      <alignment vertical="center"/>
    </xf>
    <xf numFmtId="0" fontId="3" fillId="0" borderId="0" xfId="5" applyFont="1" applyFill="1" applyBorder="1" applyAlignment="1">
      <alignment vertical="center"/>
    </xf>
    <xf numFmtId="0" fontId="4" fillId="4" borderId="10" xfId="5" applyFont="1" applyFill="1" applyBorder="1" applyAlignment="1">
      <alignment vertical="center"/>
    </xf>
    <xf numFmtId="0" fontId="3" fillId="4" borderId="0" xfId="2" applyFont="1" applyFill="1" applyBorder="1" applyAlignment="1">
      <alignment horizontal="center" vertical="center"/>
    </xf>
    <xf numFmtId="0" fontId="4" fillId="4" borderId="17" xfId="2" applyFont="1" applyFill="1" applyBorder="1" applyAlignment="1">
      <alignment horizontal="center" vertical="center"/>
    </xf>
    <xf numFmtId="3" fontId="4" fillId="0" borderId="15" xfId="5" applyNumberFormat="1" applyFont="1" applyFill="1" applyBorder="1" applyAlignment="1">
      <alignment vertical="center"/>
    </xf>
    <xf numFmtId="3" fontId="15" fillId="0" borderId="18" xfId="5" applyNumberFormat="1" applyFont="1" applyFill="1" applyBorder="1" applyAlignment="1">
      <alignment vertical="center"/>
    </xf>
    <xf numFmtId="3" fontId="14" fillId="0" borderId="18" xfId="5" applyNumberFormat="1" applyFont="1" applyFill="1" applyBorder="1" applyAlignment="1">
      <alignment vertical="center"/>
    </xf>
    <xf numFmtId="0" fontId="6" fillId="0" borderId="18" xfId="5" applyFont="1" applyFill="1" applyBorder="1" applyAlignment="1">
      <alignment vertical="center"/>
    </xf>
    <xf numFmtId="0" fontId="4" fillId="0" borderId="18" xfId="5" applyFont="1" applyFill="1" applyBorder="1" applyAlignment="1">
      <alignment vertical="center"/>
    </xf>
    <xf numFmtId="0" fontId="3" fillId="4" borderId="13" xfId="2" applyFont="1" applyFill="1" applyBorder="1" applyAlignment="1">
      <alignment vertical="center" wrapText="1"/>
    </xf>
    <xf numFmtId="2" fontId="29" fillId="11" borderId="37" xfId="0" applyNumberFormat="1" applyFont="1" applyFill="1" applyBorder="1"/>
    <xf numFmtId="2" fontId="29" fillId="11" borderId="34" xfId="0" applyNumberFormat="1" applyFont="1" applyFill="1" applyBorder="1"/>
    <xf numFmtId="0" fontId="4" fillId="8" borderId="0" xfId="0" applyFont="1" applyFill="1" applyBorder="1" applyAlignment="1">
      <alignment wrapText="1"/>
    </xf>
    <xf numFmtId="0" fontId="4" fillId="8" borderId="31" xfId="0" applyFont="1" applyFill="1" applyBorder="1" applyAlignment="1">
      <alignment horizontal="right"/>
    </xf>
    <xf numFmtId="0" fontId="4" fillId="8" borderId="0" xfId="0" applyFont="1" applyFill="1" applyBorder="1" applyAlignment="1">
      <alignment horizontal="right"/>
    </xf>
    <xf numFmtId="4" fontId="4" fillId="8" borderId="29" xfId="0" applyNumberFormat="1" applyFont="1" applyFill="1" applyBorder="1"/>
    <xf numFmtId="4" fontId="4" fillId="3" borderId="28" xfId="0" applyNumberFormat="1" applyFont="1" applyFill="1" applyBorder="1"/>
    <xf numFmtId="4" fontId="4" fillId="8" borderId="28" xfId="0" applyNumberFormat="1" applyFont="1" applyFill="1" applyBorder="1"/>
    <xf numFmtId="9" fontId="4" fillId="8" borderId="28" xfId="4" applyFont="1" applyFill="1" applyBorder="1"/>
    <xf numFmtId="3" fontId="4" fillId="8" borderId="29" xfId="0" applyNumberFormat="1" applyFont="1" applyFill="1" applyBorder="1"/>
    <xf numFmtId="3" fontId="4" fillId="3" borderId="28" xfId="0" applyNumberFormat="1" applyFont="1" applyFill="1" applyBorder="1"/>
    <xf numFmtId="3" fontId="4" fillId="8" borderId="28" xfId="0" applyNumberFormat="1" applyFont="1" applyFill="1" applyBorder="1"/>
    <xf numFmtId="165" fontId="4" fillId="4" borderId="0" xfId="0" applyNumberFormat="1" applyFont="1" applyFill="1" applyBorder="1"/>
    <xf numFmtId="171" fontId="4" fillId="8" borderId="26" xfId="0" applyNumberFormat="1" applyFont="1" applyFill="1" applyBorder="1"/>
    <xf numFmtId="171" fontId="4" fillId="8" borderId="0" xfId="0" applyNumberFormat="1" applyFont="1" applyFill="1" applyBorder="1"/>
    <xf numFmtId="4" fontId="0" fillId="11" borderId="37" xfId="0" applyNumberFormat="1" applyFont="1" applyFill="1" applyBorder="1"/>
    <xf numFmtId="4" fontId="0" fillId="11" borderId="35" xfId="0" applyNumberFormat="1" applyFont="1" applyFill="1" applyBorder="1"/>
    <xf numFmtId="4" fontId="0" fillId="11" borderId="41" xfId="0" applyNumberFormat="1" applyFont="1" applyFill="1" applyBorder="1"/>
    <xf numFmtId="9" fontId="0" fillId="10" borderId="42" xfId="4" applyFont="1" applyFill="1" applyBorder="1"/>
    <xf numFmtId="173" fontId="0" fillId="10" borderId="0" xfId="1" applyNumberFormat="1" applyFont="1" applyFill="1"/>
    <xf numFmtId="173" fontId="0" fillId="10" borderId="0" xfId="1" applyNumberFormat="1" applyFont="1" applyFill="1" applyAlignment="1">
      <alignment horizontal="right"/>
    </xf>
    <xf numFmtId="172" fontId="4" fillId="8" borderId="23" xfId="4" applyNumberFormat="1" applyFont="1" applyFill="1" applyBorder="1"/>
    <xf numFmtId="172" fontId="4" fillId="8" borderId="33" xfId="4" applyNumberFormat="1" applyFont="1" applyFill="1" applyBorder="1"/>
    <xf numFmtId="9" fontId="4" fillId="8" borderId="31" xfId="4" applyNumberFormat="1" applyFont="1" applyFill="1" applyBorder="1"/>
    <xf numFmtId="8" fontId="0" fillId="10" borderId="43" xfId="0" applyNumberFormat="1" applyFill="1" applyBorder="1"/>
    <xf numFmtId="43" fontId="0" fillId="10" borderId="43" xfId="1" applyFont="1" applyFill="1" applyBorder="1"/>
    <xf numFmtId="8" fontId="0" fillId="10" borderId="44" xfId="0" applyNumberFormat="1" applyFill="1" applyBorder="1"/>
    <xf numFmtId="43" fontId="0" fillId="10" borderId="44" xfId="1" applyFont="1" applyFill="1" applyBorder="1"/>
    <xf numFmtId="8" fontId="0" fillId="10" borderId="45" xfId="0" applyNumberFormat="1" applyFill="1" applyBorder="1"/>
    <xf numFmtId="43" fontId="0" fillId="10" borderId="45" xfId="1" applyFont="1" applyFill="1" applyBorder="1"/>
    <xf numFmtId="4" fontId="0" fillId="11" borderId="34" xfId="0" applyNumberFormat="1" applyFill="1" applyBorder="1"/>
    <xf numFmtId="4" fontId="0" fillId="11" borderId="39" xfId="0" applyNumberFormat="1" applyFill="1" applyBorder="1"/>
    <xf numFmtId="4" fontId="29" fillId="11" borderId="37" xfId="0" applyNumberFormat="1" applyFont="1" applyFill="1" applyBorder="1"/>
    <xf numFmtId="4" fontId="29" fillId="11" borderId="34" xfId="0" applyNumberFormat="1" applyFont="1" applyFill="1" applyBorder="1"/>
    <xf numFmtId="173" fontId="0" fillId="10" borderId="0" xfId="1" applyNumberFormat="1" applyFont="1" applyFill="1" applyBorder="1"/>
    <xf numFmtId="173" fontId="0" fillId="10" borderId="42" xfId="1" applyNumberFormat="1" applyFont="1" applyFill="1" applyBorder="1"/>
    <xf numFmtId="6" fontId="0" fillId="0" borderId="0" xfId="0" applyNumberFormat="1" applyFill="1"/>
    <xf numFmtId="0" fontId="0" fillId="11" borderId="0" xfId="0" applyFill="1" applyBorder="1"/>
    <xf numFmtId="0" fontId="29" fillId="11" borderId="0" xfId="0" applyFont="1" applyFill="1" applyBorder="1"/>
    <xf numFmtId="0" fontId="0" fillId="11" borderId="39" xfId="0" applyFill="1" applyBorder="1"/>
    <xf numFmtId="0" fontId="0" fillId="11" borderId="0" xfId="0" applyFill="1" applyBorder="1" applyAlignment="1">
      <alignment wrapText="1"/>
    </xf>
    <xf numFmtId="165" fontId="0" fillId="11" borderId="38" xfId="0" applyNumberFormat="1" applyFill="1" applyBorder="1"/>
    <xf numFmtId="165" fontId="0" fillId="11" borderId="36" xfId="0" applyNumberFormat="1" applyFill="1" applyBorder="1"/>
    <xf numFmtId="4" fontId="0" fillId="12" borderId="0" xfId="0" applyNumberFormat="1" applyFill="1"/>
    <xf numFmtId="0" fontId="0" fillId="0" borderId="0" xfId="0" applyFill="1" applyBorder="1" applyAlignment="1"/>
    <xf numFmtId="0" fontId="0" fillId="0" borderId="11" xfId="0" applyFill="1" applyBorder="1" applyAlignment="1"/>
    <xf numFmtId="0" fontId="33" fillId="0" borderId="46" xfId="0" applyFont="1" applyFill="1" applyBorder="1" applyAlignment="1">
      <alignment horizontal="center"/>
    </xf>
    <xf numFmtId="0" fontId="33" fillId="0" borderId="46" xfId="0" applyFont="1" applyFill="1" applyBorder="1" applyAlignment="1">
      <alignment horizontal="centerContinuous"/>
    </xf>
    <xf numFmtId="0" fontId="0" fillId="12" borderId="0" xfId="0" applyFill="1" applyAlignment="1">
      <alignment horizontal="right"/>
    </xf>
    <xf numFmtId="0" fontId="29" fillId="12" borderId="0" xfId="0" applyFont="1" applyFill="1"/>
    <xf numFmtId="0" fontId="0" fillId="11" borderId="41" xfId="0" applyFill="1" applyBorder="1"/>
    <xf numFmtId="171" fontId="0" fillId="11" borderId="0" xfId="0" applyNumberFormat="1" applyFill="1" applyBorder="1"/>
    <xf numFmtId="165" fontId="29" fillId="11" borderId="0" xfId="0" applyNumberFormat="1" applyFont="1" applyFill="1" applyBorder="1"/>
    <xf numFmtId="174" fontId="0" fillId="10" borderId="0" xfId="0" applyNumberFormat="1" applyFill="1"/>
    <xf numFmtId="43" fontId="0" fillId="10" borderId="35" xfId="1" applyNumberFormat="1" applyFont="1" applyFill="1" applyBorder="1"/>
    <xf numFmtId="175" fontId="0" fillId="10" borderId="35" xfId="1" applyNumberFormat="1" applyFont="1" applyFill="1" applyBorder="1"/>
    <xf numFmtId="43" fontId="0" fillId="10" borderId="37" xfId="1" applyNumberFormat="1" applyFont="1" applyFill="1" applyBorder="1"/>
    <xf numFmtId="43" fontId="0" fillId="10" borderId="0" xfId="1" applyNumberFormat="1" applyFont="1" applyFill="1" applyBorder="1"/>
    <xf numFmtId="9" fontId="4" fillId="8" borderId="26" xfId="4" applyFont="1" applyFill="1" applyBorder="1"/>
    <xf numFmtId="9" fontId="4" fillId="3" borderId="0" xfId="4" applyFont="1" applyFill="1" applyBorder="1"/>
    <xf numFmtId="4" fontId="40" fillId="10" borderId="34" xfId="0" applyNumberFormat="1" applyFont="1" applyFill="1" applyBorder="1"/>
    <xf numFmtId="4" fontId="40" fillId="10" borderId="0" xfId="0" applyNumberFormat="1" applyFont="1" applyFill="1" applyBorder="1"/>
    <xf numFmtId="4" fontId="40" fillId="10" borderId="39" xfId="0" applyNumberFormat="1" applyFont="1" applyFill="1" applyBorder="1"/>
    <xf numFmtId="4" fontId="40" fillId="10" borderId="38" xfId="0" applyNumberFormat="1" applyFont="1" applyFill="1" applyBorder="1"/>
    <xf numFmtId="4" fontId="40" fillId="10" borderId="36" xfId="0" applyNumberFormat="1" applyFont="1" applyFill="1" applyBorder="1"/>
    <xf numFmtId="4" fontId="40" fillId="10" borderId="40" xfId="0" applyNumberFormat="1" applyFont="1" applyFill="1" applyBorder="1"/>
    <xf numFmtId="4" fontId="4" fillId="10" borderId="35" xfId="0" applyNumberFormat="1" applyFont="1" applyFill="1" applyBorder="1"/>
    <xf numFmtId="43" fontId="0" fillId="10" borderId="0" xfId="1" applyFont="1" applyFill="1"/>
    <xf numFmtId="0" fontId="4" fillId="4" borderId="47" xfId="0" applyFont="1" applyFill="1" applyBorder="1"/>
    <xf numFmtId="3" fontId="6" fillId="4" borderId="23" xfId="5" applyNumberFormat="1" applyFont="1" applyFill="1" applyBorder="1" applyAlignment="1">
      <alignment wrapText="1"/>
    </xf>
    <xf numFmtId="3" fontId="6" fillId="0" borderId="4" xfId="5" applyNumberFormat="1" applyFont="1" applyFill="1" applyBorder="1" applyAlignment="1">
      <alignment horizontal="center" vertical="center" wrapText="1"/>
    </xf>
    <xf numFmtId="0" fontId="4" fillId="0" borderId="14" xfId="0" applyFont="1" applyFill="1" applyBorder="1"/>
    <xf numFmtId="0" fontId="15" fillId="0" borderId="14" xfId="0" applyFont="1" applyFill="1" applyBorder="1"/>
    <xf numFmtId="0" fontId="14" fillId="0" borderId="14" xfId="0" applyFont="1" applyFill="1" applyBorder="1"/>
    <xf numFmtId="172" fontId="0" fillId="10" borderId="42" xfId="4" applyNumberFormat="1" applyFont="1" applyFill="1" applyBorder="1"/>
    <xf numFmtId="172" fontId="0" fillId="10" borderId="0" xfId="4" applyNumberFormat="1" applyFont="1" applyFill="1" applyBorder="1"/>
    <xf numFmtId="172" fontId="0" fillId="10" borderId="0" xfId="0" applyNumberFormat="1" applyFill="1"/>
    <xf numFmtId="9" fontId="4" fillId="8" borderId="0" xfId="0" applyNumberFormat="1" applyFont="1" applyFill="1" applyBorder="1"/>
    <xf numFmtId="0" fontId="47" fillId="10" borderId="0" xfId="0" applyFont="1" applyFill="1" applyAlignment="1">
      <alignment horizontal="right"/>
    </xf>
    <xf numFmtId="3" fontId="47" fillId="10" borderId="0" xfId="0" applyNumberFormat="1" applyFont="1" applyFill="1"/>
    <xf numFmtId="172" fontId="4" fillId="8" borderId="30" xfId="4" applyNumberFormat="1" applyFont="1" applyFill="1" applyBorder="1"/>
    <xf numFmtId="172" fontId="15" fillId="8" borderId="0" xfId="0" applyNumberFormat="1" applyFont="1" applyFill="1" applyBorder="1"/>
    <xf numFmtId="172" fontId="4" fillId="8" borderId="0" xfId="0" applyNumberFormat="1" applyFont="1" applyFill="1" applyBorder="1"/>
    <xf numFmtId="172" fontId="4" fillId="8" borderId="0" xfId="0" applyNumberFormat="1" applyFont="1" applyFill="1" applyBorder="1" applyAlignment="1">
      <alignment wrapText="1"/>
    </xf>
    <xf numFmtId="9" fontId="4" fillId="8" borderId="0" xfId="4" applyNumberFormat="1" applyFont="1" applyFill="1" applyBorder="1"/>
    <xf numFmtId="9" fontId="4" fillId="8" borderId="28" xfId="4" applyNumberFormat="1" applyFont="1" applyFill="1" applyBorder="1"/>
    <xf numFmtId="9" fontId="15" fillId="8" borderId="0" xfId="0" applyNumberFormat="1" applyFont="1" applyFill="1" applyBorder="1"/>
    <xf numFmtId="9" fontId="4" fillId="8" borderId="0" xfId="0" applyNumberFormat="1" applyFont="1" applyFill="1" applyBorder="1" applyAlignment="1">
      <alignment wrapText="1"/>
    </xf>
    <xf numFmtId="165" fontId="0" fillId="10" borderId="38" xfId="0" applyNumberFormat="1" applyFill="1" applyBorder="1"/>
    <xf numFmtId="165" fontId="0" fillId="10" borderId="36" xfId="0" applyNumberFormat="1" applyFill="1" applyBorder="1"/>
    <xf numFmtId="4" fontId="0" fillId="10" borderId="40" xfId="0" applyNumberFormat="1" applyFill="1" applyBorder="1"/>
    <xf numFmtId="9" fontId="0" fillId="10" borderId="38" xfId="0" applyNumberFormat="1" applyFill="1" applyBorder="1"/>
    <xf numFmtId="9" fontId="0" fillId="10" borderId="48" xfId="4" applyFont="1" applyFill="1" applyBorder="1"/>
    <xf numFmtId="173" fontId="0" fillId="10" borderId="49" xfId="1" applyNumberFormat="1" applyFont="1" applyFill="1" applyBorder="1"/>
    <xf numFmtId="0" fontId="29" fillId="10" borderId="35" xfId="0" applyFont="1" applyFill="1" applyBorder="1"/>
    <xf numFmtId="0" fontId="4" fillId="11" borderId="0" xfId="0" applyFont="1" applyFill="1" applyBorder="1" applyAlignment="1">
      <alignment horizontal="right" vertical="top"/>
    </xf>
    <xf numFmtId="0" fontId="4" fillId="11" borderId="31" xfId="0" applyFont="1" applyFill="1" applyBorder="1" applyAlignment="1">
      <alignment horizontal="right" vertical="top"/>
    </xf>
    <xf numFmtId="0" fontId="4" fillId="11" borderId="0" xfId="0" applyFont="1" applyFill="1" applyBorder="1" applyAlignment="1">
      <alignment horizontal="center" vertical="top"/>
    </xf>
    <xf numFmtId="9" fontId="4" fillId="11" borderId="32" xfId="0" applyNumberFormat="1" applyFont="1" applyFill="1" applyBorder="1" applyAlignment="1">
      <alignment horizontal="right" vertical="top"/>
    </xf>
    <xf numFmtId="9" fontId="4" fillId="11" borderId="31" xfId="0" applyNumberFormat="1" applyFont="1" applyFill="1" applyBorder="1" applyAlignment="1">
      <alignment horizontal="right" vertical="top"/>
    </xf>
    <xf numFmtId="0" fontId="0" fillId="10" borderId="49" xfId="0" applyFill="1" applyBorder="1"/>
    <xf numFmtId="0" fontId="0" fillId="10" borderId="51" xfId="0" applyFill="1" applyBorder="1" applyAlignment="1">
      <alignment wrapText="1"/>
    </xf>
    <xf numFmtId="9" fontId="0" fillId="10" borderId="49" xfId="4" applyFont="1" applyFill="1" applyBorder="1"/>
    <xf numFmtId="0" fontId="0" fillId="10" borderId="49" xfId="0" applyFill="1" applyBorder="1" applyAlignment="1">
      <alignment wrapText="1"/>
    </xf>
    <xf numFmtId="9" fontId="0" fillId="10" borderId="52" xfId="4" applyFont="1" applyFill="1" applyBorder="1"/>
    <xf numFmtId="0" fontId="0" fillId="10" borderId="53" xfId="0" applyFill="1" applyBorder="1"/>
    <xf numFmtId="0" fontId="0" fillId="10" borderId="53" xfId="0" applyFill="1" applyBorder="1" applyAlignment="1">
      <alignment wrapText="1"/>
    </xf>
    <xf numFmtId="172" fontId="0" fillId="10" borderId="52" xfId="4" applyNumberFormat="1" applyFont="1" applyFill="1" applyBorder="1"/>
    <xf numFmtId="172" fontId="0" fillId="10" borderId="49" xfId="4" applyNumberFormat="1" applyFont="1" applyFill="1" applyBorder="1"/>
    <xf numFmtId="172" fontId="0" fillId="10" borderId="49" xfId="0" applyNumberFormat="1" applyFill="1" applyBorder="1"/>
    <xf numFmtId="172" fontId="0" fillId="10" borderId="48" xfId="4" applyNumberFormat="1" applyFont="1" applyFill="1" applyBorder="1"/>
    <xf numFmtId="173" fontId="29" fillId="10" borderId="0" xfId="1" applyNumberFormat="1" applyFont="1" applyFill="1" applyAlignment="1">
      <alignment wrapText="1"/>
    </xf>
    <xf numFmtId="0" fontId="4" fillId="11" borderId="26" xfId="0" applyFont="1" applyFill="1" applyBorder="1" applyAlignment="1">
      <alignment horizontal="center" vertical="top"/>
    </xf>
    <xf numFmtId="9" fontId="4" fillId="11" borderId="0" xfId="0" applyNumberFormat="1" applyFont="1" applyFill="1" applyBorder="1" applyAlignment="1">
      <alignment horizontal="right" vertical="top"/>
    </xf>
    <xf numFmtId="9" fontId="4" fillId="11" borderId="26" xfId="0" applyNumberFormat="1" applyFont="1" applyFill="1" applyBorder="1" applyAlignment="1">
      <alignment horizontal="right" vertical="top"/>
    </xf>
    <xf numFmtId="0" fontId="3" fillId="11" borderId="26" xfId="0" applyFont="1" applyFill="1" applyBorder="1" applyAlignment="1">
      <alignment horizontal="center" vertical="top"/>
    </xf>
    <xf numFmtId="9" fontId="3" fillId="11" borderId="32" xfId="0" applyNumberFormat="1" applyFont="1" applyFill="1" applyBorder="1" applyAlignment="1">
      <alignment horizontal="right" vertical="top"/>
    </xf>
    <xf numFmtId="9" fontId="3" fillId="11" borderId="26" xfId="0" applyNumberFormat="1" applyFont="1" applyFill="1" applyBorder="1" applyAlignment="1">
      <alignment horizontal="right" vertical="top"/>
    </xf>
    <xf numFmtId="172" fontId="3" fillId="11" borderId="26" xfId="0" applyNumberFormat="1" applyFont="1" applyFill="1" applyBorder="1" applyAlignment="1">
      <alignment horizontal="right" vertical="top"/>
    </xf>
    <xf numFmtId="172" fontId="0" fillId="10" borderId="54" xfId="4" applyNumberFormat="1" applyFont="1" applyFill="1" applyBorder="1"/>
    <xf numFmtId="172" fontId="0" fillId="10" borderId="53" xfId="4" applyNumberFormat="1" applyFont="1" applyFill="1" applyBorder="1"/>
    <xf numFmtId="172" fontId="0" fillId="10" borderId="50" xfId="0" applyNumberFormat="1" applyFill="1" applyBorder="1" applyAlignment="1">
      <alignment wrapText="1"/>
    </xf>
    <xf numFmtId="9" fontId="29" fillId="10" borderId="0" xfId="4" applyFont="1" applyFill="1"/>
    <xf numFmtId="172" fontId="0" fillId="0" borderId="0" xfId="4" applyNumberFormat="1" applyFont="1" applyFill="1"/>
    <xf numFmtId="172" fontId="29" fillId="0" borderId="0" xfId="4" applyNumberFormat="1" applyFont="1" applyFill="1"/>
    <xf numFmtId="10" fontId="0" fillId="0" borderId="0" xfId="4" applyNumberFormat="1" applyFont="1" applyFill="1"/>
    <xf numFmtId="0" fontId="45" fillId="10" borderId="0" xfId="0" applyFont="1" applyFill="1" applyAlignment="1">
      <alignment horizontal="left" wrapText="1"/>
    </xf>
    <xf numFmtId="0" fontId="12" fillId="4" borderId="14" xfId="0" applyFont="1" applyFill="1" applyBorder="1" applyAlignment="1">
      <alignment horizontal="center" vertical="center" textRotation="90"/>
    </xf>
    <xf numFmtId="0" fontId="4" fillId="4" borderId="26" xfId="0" applyFont="1" applyFill="1" applyBorder="1" applyAlignment="1">
      <alignment horizontal="center"/>
    </xf>
    <xf numFmtId="0" fontId="4" fillId="4" borderId="0" xfId="0" applyFont="1" applyFill="1" applyBorder="1" applyAlignment="1">
      <alignment horizontal="center"/>
    </xf>
    <xf numFmtId="0" fontId="4" fillId="4" borderId="23" xfId="0" applyFont="1" applyFill="1" applyBorder="1" applyAlignment="1">
      <alignment horizontal="center"/>
    </xf>
    <xf numFmtId="0" fontId="3" fillId="4" borderId="26" xfId="0" applyFont="1" applyFill="1" applyBorder="1" applyAlignment="1">
      <alignment horizontal="center"/>
    </xf>
    <xf numFmtId="0" fontId="3" fillId="4" borderId="0" xfId="0" applyFont="1" applyFill="1" applyBorder="1" applyAlignment="1">
      <alignment horizontal="center"/>
    </xf>
    <xf numFmtId="0" fontId="3" fillId="4" borderId="23" xfId="0" applyFont="1" applyFill="1" applyBorder="1" applyAlignment="1">
      <alignment horizontal="center"/>
    </xf>
    <xf numFmtId="3" fontId="6" fillId="0" borderId="10" xfId="5" applyNumberFormat="1" applyFont="1" applyFill="1" applyBorder="1" applyAlignment="1">
      <alignment horizontal="center" vertical="center" wrapText="1"/>
    </xf>
    <xf numFmtId="0" fontId="6" fillId="0" borderId="10" xfId="5" applyFont="1" applyFill="1" applyBorder="1" applyAlignment="1">
      <alignment horizontal="center" vertical="center" wrapText="1"/>
    </xf>
    <xf numFmtId="0" fontId="3" fillId="4" borderId="0" xfId="0" applyFont="1" applyFill="1" applyBorder="1" applyAlignment="1">
      <alignment horizontal="center" vertical="center"/>
    </xf>
    <xf numFmtId="0" fontId="3" fillId="4" borderId="14" xfId="0" applyFont="1" applyFill="1" applyBorder="1" applyAlignment="1">
      <alignment horizontal="center" vertical="center"/>
    </xf>
    <xf numFmtId="0" fontId="4" fillId="4" borderId="13" xfId="2" applyFont="1" applyFill="1" applyBorder="1" applyAlignment="1">
      <alignment horizontal="center" vertical="center" wrapText="1"/>
    </xf>
    <xf numFmtId="0" fontId="4" fillId="4" borderId="0" xfId="2" applyFont="1" applyFill="1" applyBorder="1" applyAlignment="1">
      <alignment horizontal="center" vertical="center" wrapText="1"/>
    </xf>
    <xf numFmtId="0" fontId="4" fillId="4" borderId="23" xfId="2" applyFont="1" applyFill="1" applyBorder="1" applyAlignment="1">
      <alignment horizontal="center" vertical="center" wrapText="1"/>
    </xf>
    <xf numFmtId="0" fontId="0" fillId="0" borderId="0" xfId="0" applyBorder="1"/>
    <xf numFmtId="0" fontId="0" fillId="0" borderId="23" xfId="0" applyBorder="1"/>
    <xf numFmtId="0" fontId="4" fillId="4" borderId="26" xfId="2" applyFont="1" applyFill="1" applyBorder="1" applyAlignment="1">
      <alignment horizontal="center" vertical="center" wrapText="1"/>
    </xf>
    <xf numFmtId="0" fontId="4" fillId="4" borderId="14" xfId="2" applyFont="1" applyFill="1" applyBorder="1" applyAlignment="1">
      <alignment horizontal="center" vertical="center" wrapText="1"/>
    </xf>
    <xf numFmtId="0" fontId="3" fillId="4" borderId="13" xfId="0" applyFont="1" applyFill="1" applyBorder="1" applyAlignment="1">
      <alignment horizontal="center" vertical="center"/>
    </xf>
    <xf numFmtId="0" fontId="4" fillId="4" borderId="18" xfId="2" applyFont="1" applyFill="1" applyBorder="1" applyAlignment="1">
      <alignment horizontal="center" vertical="center" wrapText="1"/>
    </xf>
    <xf numFmtId="0" fontId="4" fillId="4" borderId="17" xfId="2" applyFont="1" applyFill="1" applyBorder="1" applyAlignment="1">
      <alignment horizontal="center" vertical="center" wrapText="1"/>
    </xf>
    <xf numFmtId="0" fontId="3" fillId="4" borderId="13" xfId="2" applyFont="1" applyFill="1" applyBorder="1" applyAlignment="1">
      <alignment horizontal="center" vertical="center" wrapText="1"/>
    </xf>
    <xf numFmtId="0" fontId="3" fillId="4" borderId="1" xfId="2" applyFont="1" applyFill="1" applyBorder="1" applyAlignment="1">
      <alignment horizontal="center" vertical="center" wrapText="1"/>
    </xf>
    <xf numFmtId="0" fontId="3" fillId="4" borderId="14" xfId="2" applyFont="1" applyFill="1" applyBorder="1" applyAlignment="1">
      <alignment horizontal="center" vertical="center" wrapText="1"/>
    </xf>
    <xf numFmtId="0" fontId="3" fillId="4" borderId="9" xfId="2" applyFont="1" applyFill="1" applyBorder="1" applyAlignment="1">
      <alignment horizontal="center" vertical="center" wrapText="1"/>
    </xf>
    <xf numFmtId="3" fontId="4" fillId="4" borderId="13" xfId="5" applyNumberFormat="1" applyFont="1" applyFill="1" applyBorder="1" applyAlignment="1">
      <alignment horizontal="right" vertical="center" wrapText="1"/>
    </xf>
    <xf numFmtId="3" fontId="4" fillId="4" borderId="0" xfId="5" applyNumberFormat="1" applyFont="1" applyFill="1" applyBorder="1" applyAlignment="1">
      <alignment horizontal="right" vertical="center" wrapText="1"/>
    </xf>
    <xf numFmtId="3" fontId="4" fillId="4" borderId="13" xfId="5" applyNumberFormat="1" applyFont="1" applyFill="1" applyBorder="1" applyAlignment="1">
      <alignment horizontal="center" vertical="center" wrapText="1"/>
    </xf>
    <xf numFmtId="3" fontId="13" fillId="4" borderId="10" xfId="5" applyNumberFormat="1" applyFont="1" applyFill="1" applyBorder="1" applyAlignment="1">
      <alignment horizontal="center" vertical="center" wrapText="1"/>
    </xf>
    <xf numFmtId="0" fontId="13" fillId="4" borderId="10" xfId="5" applyFont="1" applyFill="1" applyBorder="1" applyAlignment="1">
      <alignment horizontal="center" vertical="center" wrapText="1"/>
    </xf>
    <xf numFmtId="0" fontId="6" fillId="0" borderId="18" xfId="0" applyFont="1" applyBorder="1" applyAlignment="1">
      <alignment horizontal="left" wrapText="1"/>
    </xf>
    <xf numFmtId="3" fontId="4" fillId="0" borderId="23" xfId="5" applyNumberFormat="1" applyFont="1" applyFill="1" applyBorder="1" applyAlignment="1">
      <alignment horizontal="right" vertical="center" wrapText="1"/>
    </xf>
    <xf numFmtId="3" fontId="4" fillId="4" borderId="23" xfId="5" applyNumberFormat="1" applyFont="1" applyFill="1" applyBorder="1" applyAlignment="1">
      <alignment horizontal="right" vertical="center" wrapText="1"/>
    </xf>
    <xf numFmtId="3" fontId="4" fillId="4" borderId="18" xfId="5" applyNumberFormat="1" applyFont="1" applyFill="1" applyBorder="1" applyAlignment="1">
      <alignment horizontal="right" vertical="center" wrapText="1"/>
    </xf>
    <xf numFmtId="0" fontId="0" fillId="12" borderId="0" xfId="0" applyFill="1" applyBorder="1" applyAlignment="1">
      <alignment horizontal="center"/>
    </xf>
  </cellXfs>
  <cellStyles count="15">
    <cellStyle name="Comma" xfId="1" builtinId="3"/>
    <cellStyle name="Comma 2" xfId="10"/>
    <cellStyle name="Currency" xfId="9" builtinId="4"/>
    <cellStyle name="Followed Hyperlink" xfId="8" builtinId="9" customBuiltin="1"/>
    <cellStyle name="Hyperlink" xfId="7" builtinId="8"/>
    <cellStyle name="Hyperlink 2" xfId="11"/>
    <cellStyle name="Normal" xfId="0" builtinId="0"/>
    <cellStyle name="Normal 2" xfId="3"/>
    <cellStyle name="Normal 3" xfId="2"/>
    <cellStyle name="Normal 3 19" xfId="12"/>
    <cellStyle name="Normal 3 2" xfId="13"/>
    <cellStyle name="Normal 4" xfId="6"/>
    <cellStyle name="Normal 5" xfId="14"/>
    <cellStyle name="Normal 6" xfId="5"/>
    <cellStyle name="Percent" xfId="4" builtinId="5"/>
  </cellStyles>
  <dxfs count="0"/>
  <tableStyles count="0" defaultTableStyle="TableStyleMedium2" defaultPivotStyle="PivotStyleLight16"/>
  <colors>
    <mruColors>
      <color rgb="FFE46C0A"/>
      <color rgb="FF953735"/>
      <color rgb="FFFFCC00"/>
      <color rgb="FF0000FF"/>
      <color rgb="FFFFCC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31"/>
          <c:y val="0.16317884983295219"/>
          <c:w val="0.78381714785651757"/>
          <c:h val="0.72063954730382263"/>
        </c:manualLayout>
      </c:layout>
      <c:barChart>
        <c:barDir val="col"/>
        <c:grouping val="stacked"/>
        <c:ser>
          <c:idx val="0"/>
          <c:order val="0"/>
          <c:tx>
            <c:strRef>
              <c:f>ACT!$BG$10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(ACT!$BH$7,ACT!$BM$7)</c:f>
              <c:strCache>
                <c:ptCount val="2"/>
                <c:pt idx="0">
                  <c:v>2010/11 excl. fly ash</c:v>
                </c:pt>
                <c:pt idx="1">
                  <c:v>2010/11 incl. fly ash</c:v>
                </c:pt>
              </c:strCache>
            </c:strRef>
          </c:cat>
          <c:val>
            <c:numRef>
              <c:f>(ACT!$BK$10,ACT!$BM$10)</c:f>
              <c:numCache>
                <c:formatCode>#,##0</c:formatCode>
                <c:ptCount val="2"/>
                <c:pt idx="0">
                  <c:v>198.50503867761728</c:v>
                </c:pt>
                <c:pt idx="1">
                  <c:v>198.50503867761728</c:v>
                </c:pt>
              </c:numCache>
            </c:numRef>
          </c:val>
        </c:ser>
        <c:ser>
          <c:idx val="1"/>
          <c:order val="1"/>
          <c:tx>
            <c:strRef>
              <c:f>ACT!$BG$11</c:f>
              <c:strCache>
                <c:ptCount val="1"/>
                <c:pt idx="0">
                  <c:v>Recycling</c:v>
                </c:pt>
              </c:strCache>
            </c:strRef>
          </c:tx>
          <c:spPr>
            <a:solidFill>
              <a:srgbClr val="FFCC00"/>
            </a:solidFill>
          </c:spPr>
          <c:dLbls>
            <c:showVal val="1"/>
          </c:dLbls>
          <c:cat>
            <c:strRef>
              <c:f>(ACT!$BH$7,ACT!$BM$7)</c:f>
              <c:strCache>
                <c:ptCount val="2"/>
                <c:pt idx="0">
                  <c:v>2010/11 excl. fly ash</c:v>
                </c:pt>
                <c:pt idx="1">
                  <c:v>2010/11 incl. fly ash</c:v>
                </c:pt>
              </c:strCache>
            </c:strRef>
          </c:cat>
          <c:val>
            <c:numRef>
              <c:f>(ACT!$BK$11,ACT!$BM$11)</c:f>
              <c:numCache>
                <c:formatCode>#,##0</c:formatCode>
                <c:ptCount val="2"/>
                <c:pt idx="0">
                  <c:v>704.5913880702069</c:v>
                </c:pt>
                <c:pt idx="1">
                  <c:v>704.5913880702069</c:v>
                </c:pt>
              </c:numCache>
            </c:numRef>
          </c:val>
        </c:ser>
        <c:ser>
          <c:idx val="2"/>
          <c:order val="2"/>
          <c:tx>
            <c:strRef>
              <c:f>ACT!$BG$12</c:f>
              <c:strCache>
                <c:ptCount val="1"/>
                <c:pt idx="0">
                  <c:v>Energy recovery</c:v>
                </c:pt>
              </c:strCache>
            </c:strRef>
          </c:tx>
          <c:spPr>
            <a:solidFill>
              <a:schemeClr val="accent6">
                <a:lumMod val="75000"/>
              </a:schemeClr>
            </a:solidFill>
          </c:spPr>
          <c:dLbls>
            <c:dLbl>
              <c:idx val="0"/>
              <c:layout>
                <c:manualLayout>
                  <c:x val="-2.1371375521569868E-7"/>
                  <c:y val="9.2753640123910096E-3"/>
                </c:manualLayout>
              </c:layout>
              <c:showVal val="1"/>
            </c:dLbl>
            <c:dLbl>
              <c:idx val="1"/>
              <c:layout>
                <c:manualLayout>
                  <c:x val="-2.1371375521569868E-7"/>
                  <c:y val="9.2753640123910547E-3"/>
                </c:manualLayout>
              </c:layout>
              <c:showVal val="1"/>
            </c:dLbl>
            <c:showVal val="1"/>
          </c:dLbls>
          <c:cat>
            <c:numRef>
              <c:f>(ACT!$BE$7,ACT!$BJ$7)</c:f>
              <c:numCache>
                <c:formatCode>General</c:formatCode>
                <c:ptCount val="2"/>
              </c:numCache>
            </c:numRef>
          </c:cat>
          <c:val>
            <c:numRef>
              <c:f>(ACT!$BK$12,ACT!$BM$12)</c:f>
              <c:numCache>
                <c:formatCode>#,##0</c:formatCode>
                <c:ptCount val="2"/>
                <c:pt idx="0">
                  <c:v>31.275542617122831</c:v>
                </c:pt>
                <c:pt idx="1">
                  <c:v>31.275542617122831</c:v>
                </c:pt>
              </c:numCache>
            </c:numRef>
          </c:val>
        </c:ser>
        <c:ser>
          <c:idx val="3"/>
          <c:order val="3"/>
          <c:tx>
            <c:strRef>
              <c:f>ACT!$BG$13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(ACT!$BH$7,ACT!$BM$7)</c:f>
              <c:strCache>
                <c:ptCount val="2"/>
                <c:pt idx="0">
                  <c:v>2010/11 excl. fly ash</c:v>
                </c:pt>
                <c:pt idx="1">
                  <c:v>2010/11 incl. fly ash</c:v>
                </c:pt>
              </c:strCache>
            </c:strRef>
          </c:cat>
          <c:val>
            <c:numRef>
              <c:f>(ACT!$BK$13,ACT!$BM$13)</c:f>
              <c:numCache>
                <c:formatCode>0%</c:formatCode>
                <c:ptCount val="2"/>
                <c:pt idx="0">
                  <c:v>0.78755244679211356</c:v>
                </c:pt>
                <c:pt idx="1">
                  <c:v>0.78755244679211356</c:v>
                </c:pt>
              </c:numCache>
            </c:numRef>
          </c:val>
        </c:ser>
        <c:dLbls/>
        <c:overlap val="100"/>
        <c:axId val="91308032"/>
        <c:axId val="91309952"/>
      </c:barChart>
      <c:catAx>
        <c:axId val="91308032"/>
        <c:scaling>
          <c:orientation val="minMax"/>
        </c:scaling>
        <c:axPos val="b"/>
        <c:majorTickMark val="none"/>
        <c:tickLblPos val="nextTo"/>
        <c:crossAx val="91309952"/>
        <c:crosses val="autoZero"/>
        <c:auto val="1"/>
        <c:lblAlgn val="ctr"/>
        <c:lblOffset val="100"/>
      </c:catAx>
      <c:valAx>
        <c:axId val="91309952"/>
        <c:scaling>
          <c:orientation val="minMax"/>
        </c:scaling>
        <c:axPos val="l"/>
        <c:majorGridlines/>
        <c:title>
          <c:tx>
            <c:rich>
              <a:bodyPr rot="-5400000" vert="horz"/>
              <a:lstStyle/>
              <a:p>
                <a:pPr>
                  <a:defRPr/>
                </a:pPr>
                <a:r>
                  <a:rPr lang="en-US"/>
                  <a:t>Thousands of tonnes</a:t>
                </a:r>
              </a:p>
            </c:rich>
          </c:tx>
          <c:layout>
            <c:manualLayout>
              <c:xMode val="edge"/>
              <c:yMode val="edge"/>
              <c:x val="2.3249919429915108E-2"/>
              <c:y val="0.25832765186856632"/>
            </c:manualLayout>
          </c:layout>
        </c:title>
        <c:numFmt formatCode="#,##0" sourceLinked="1"/>
        <c:tickLblPos val="nextTo"/>
        <c:spPr>
          <a:ln>
            <a:noFill/>
          </a:ln>
        </c:spPr>
        <c:crossAx val="91308032"/>
        <c:crosses val="autoZero"/>
        <c:crossBetween val="between"/>
      </c:valAx>
    </c:plotArea>
    <c:legend>
      <c:legendPos val="t"/>
      <c:legendEntry>
        <c:idx val="3"/>
        <c:delete val="1"/>
      </c:legendEntry>
    </c:legend>
    <c:plotVisOnly val="1"/>
    <c:dispBlanksAs val="gap"/>
  </c:chart>
  <c:spPr>
    <a:ln>
      <a:noFill/>
    </a:ln>
  </c:spPr>
  <c:printSettings>
    <c:headerFooter/>
    <c:pageMargins b="0.75000000000000877" l="0.70000000000000062" r="0.70000000000000062" t="0.7500000000000087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NSW!$BU$66</c:f>
              <c:strCache>
                <c:ptCount val="1"/>
                <c:pt idx="0">
                  <c:v>Disposal</c:v>
                </c:pt>
              </c:strCache>
            </c:strRef>
          </c:tx>
          <c:spPr>
            <a:solidFill>
              <a:srgbClr val="C0504D">
                <a:lumMod val="75000"/>
              </a:srgbClr>
            </a:solidFill>
          </c:spPr>
          <c:cat>
            <c:strRef>
              <c:f>NSW!$BV$65:$BX$65</c:f>
              <c:strCache>
                <c:ptCount val="3"/>
                <c:pt idx="0">
                  <c:v>06/07</c:v>
                </c:pt>
                <c:pt idx="1">
                  <c:v>08/09</c:v>
                </c:pt>
                <c:pt idx="2">
                  <c:v>10/11</c:v>
                </c:pt>
              </c:strCache>
            </c:strRef>
          </c:cat>
          <c:val>
            <c:numRef>
              <c:f>NSW!$BV$66:$BX$66</c:f>
              <c:numCache>
                <c:formatCode>#,##0</c:formatCode>
                <c:ptCount val="3"/>
                <c:pt idx="0">
                  <c:v>6990.4627906028682</c:v>
                </c:pt>
                <c:pt idx="1">
                  <c:v>6309.437777641886</c:v>
                </c:pt>
                <c:pt idx="2">
                  <c:v>5935.9745797020696</c:v>
                </c:pt>
              </c:numCache>
            </c:numRef>
          </c:val>
        </c:ser>
        <c:ser>
          <c:idx val="1"/>
          <c:order val="1"/>
          <c:tx>
            <c:strRef>
              <c:f>NSW!$BU$67</c:f>
              <c:strCache>
                <c:ptCount val="1"/>
                <c:pt idx="0">
                  <c:v>Recycling</c:v>
                </c:pt>
              </c:strCache>
            </c:strRef>
          </c:tx>
          <c:spPr>
            <a:solidFill>
              <a:srgbClr val="FFCC00"/>
            </a:solidFill>
          </c:spPr>
          <c:cat>
            <c:strRef>
              <c:f>NSW!$BV$65:$BX$65</c:f>
              <c:strCache>
                <c:ptCount val="3"/>
                <c:pt idx="0">
                  <c:v>06/07</c:v>
                </c:pt>
                <c:pt idx="1">
                  <c:v>08/09</c:v>
                </c:pt>
                <c:pt idx="2">
                  <c:v>10/11</c:v>
                </c:pt>
              </c:strCache>
            </c:strRef>
          </c:cat>
          <c:val>
            <c:numRef>
              <c:f>NSW!$BV$67:$BX$67</c:f>
              <c:numCache>
                <c:formatCode>#,##0</c:formatCode>
                <c:ptCount val="3"/>
                <c:pt idx="0">
                  <c:v>7994.9995679842305</c:v>
                </c:pt>
                <c:pt idx="1">
                  <c:v>9529</c:v>
                </c:pt>
                <c:pt idx="2">
                  <c:v>10712.5</c:v>
                </c:pt>
              </c:numCache>
            </c:numRef>
          </c:val>
        </c:ser>
        <c:ser>
          <c:idx val="2"/>
          <c:order val="2"/>
          <c:tx>
            <c:strRef>
              <c:f>NSW!$BU$68</c:f>
              <c:strCache>
                <c:ptCount val="1"/>
                <c:pt idx="0">
                  <c:v>Energy recovery</c:v>
                </c:pt>
              </c:strCache>
            </c:strRef>
          </c:tx>
          <c:spPr>
            <a:solidFill>
              <a:schemeClr val="accent6">
                <a:lumMod val="75000"/>
              </a:schemeClr>
            </a:solidFill>
          </c:spPr>
          <c:cat>
            <c:strRef>
              <c:f>NSW!$BV$65:$BX$65</c:f>
              <c:strCache>
                <c:ptCount val="3"/>
                <c:pt idx="0">
                  <c:v>06/07</c:v>
                </c:pt>
                <c:pt idx="1">
                  <c:v>08/09</c:v>
                </c:pt>
                <c:pt idx="2">
                  <c:v>10/11</c:v>
                </c:pt>
              </c:strCache>
            </c:strRef>
          </c:cat>
          <c:val>
            <c:numRef>
              <c:f>NSW!$BV$68:$BX$68</c:f>
              <c:numCache>
                <c:formatCode>#,##0</c:formatCode>
                <c:ptCount val="3"/>
                <c:pt idx="0">
                  <c:v>350.49172785579788</c:v>
                </c:pt>
                <c:pt idx="1">
                  <c:v>423.02290780543615</c:v>
                </c:pt>
                <c:pt idx="2">
                  <c:v>482.52508114911836</c:v>
                </c:pt>
              </c:numCache>
            </c:numRef>
          </c:val>
        </c:ser>
        <c:dLbls/>
        <c:axId val="76186368"/>
        <c:axId val="76187904"/>
      </c:areaChart>
      <c:catAx>
        <c:axId val="76186368"/>
        <c:scaling>
          <c:orientation val="minMax"/>
        </c:scaling>
        <c:axPos val="b"/>
        <c:tickLblPos val="nextTo"/>
        <c:crossAx val="76187904"/>
        <c:crosses val="autoZero"/>
        <c:auto val="1"/>
        <c:lblAlgn val="ctr"/>
        <c:lblOffset val="100"/>
      </c:catAx>
      <c:valAx>
        <c:axId val="76187904"/>
        <c:scaling>
          <c:orientation val="minMax"/>
        </c:scaling>
        <c:axPos val="l"/>
        <c:majorGridlines/>
        <c:title>
          <c:tx>
            <c:rich>
              <a:bodyPr rot="-5400000" vert="horz"/>
              <a:lstStyle/>
              <a:p>
                <a:pPr>
                  <a:defRPr/>
                </a:pPr>
                <a:r>
                  <a:rPr lang="en-US"/>
                  <a:t>Millions of tonnes</a:t>
                </a:r>
              </a:p>
            </c:rich>
          </c:tx>
        </c:title>
        <c:numFmt formatCode="0," sourceLinked="0"/>
        <c:tickLblPos val="nextTo"/>
        <c:crossAx val="76186368"/>
        <c:crosses val="autoZero"/>
        <c:crossBetween val="midCat"/>
      </c:valAx>
    </c:plotArea>
    <c:legend>
      <c:legendPos val="t"/>
    </c:legend>
    <c:plotVisOnly val="1"/>
    <c:dispBlanksAs val="zero"/>
  </c:chart>
  <c:spPr>
    <a:ln>
      <a:noFill/>
    </a:ln>
  </c:spPr>
  <c:printSettings>
    <c:headerFooter/>
    <c:pageMargins b="0.750000000000006" l="0.70000000000000062" r="0.70000000000000062" t="0.750000000000006"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NSW!$BV$88</c:f>
              <c:strCache>
                <c:ptCount val="1"/>
                <c:pt idx="0">
                  <c:v>Disposal</c:v>
                </c:pt>
              </c:strCache>
            </c:strRef>
          </c:tx>
          <c:spPr>
            <a:solidFill>
              <a:srgbClr val="C0504D">
                <a:lumMod val="75000"/>
              </a:srgbClr>
            </a:solidFill>
          </c:spPr>
          <c:cat>
            <c:strRef>
              <c:f>NSW!$BU$89:$BU$91</c:f>
              <c:strCache>
                <c:ptCount val="3"/>
                <c:pt idx="0">
                  <c:v>06/07</c:v>
                </c:pt>
                <c:pt idx="1">
                  <c:v>08/09</c:v>
                </c:pt>
                <c:pt idx="2">
                  <c:v>10/11</c:v>
                </c:pt>
              </c:strCache>
            </c:strRef>
          </c:cat>
          <c:val>
            <c:numRef>
              <c:f>NSW!$BV$89:$BV$91</c:f>
              <c:numCache>
                <c:formatCode>#,##0</c:formatCode>
                <c:ptCount val="3"/>
                <c:pt idx="0">
                  <c:v>2490.5797913721049</c:v>
                </c:pt>
                <c:pt idx="1">
                  <c:v>2269.9359100421352</c:v>
                </c:pt>
                <c:pt idx="2">
                  <c:v>1793.9482998096171</c:v>
                </c:pt>
              </c:numCache>
            </c:numRef>
          </c:val>
        </c:ser>
        <c:ser>
          <c:idx val="1"/>
          <c:order val="1"/>
          <c:tx>
            <c:strRef>
              <c:f>NSW!$BW$88</c:f>
              <c:strCache>
                <c:ptCount val="1"/>
                <c:pt idx="0">
                  <c:v>Recycling</c:v>
                </c:pt>
              </c:strCache>
            </c:strRef>
          </c:tx>
          <c:spPr>
            <a:solidFill>
              <a:srgbClr val="FFCC00"/>
            </a:solidFill>
          </c:spPr>
          <c:cat>
            <c:strRef>
              <c:f>NSW!$BU$89:$BU$91</c:f>
              <c:strCache>
                <c:ptCount val="3"/>
                <c:pt idx="0">
                  <c:v>06/07</c:v>
                </c:pt>
                <c:pt idx="1">
                  <c:v>08/09</c:v>
                </c:pt>
                <c:pt idx="2">
                  <c:v>10/11</c:v>
                </c:pt>
              </c:strCache>
            </c:strRef>
          </c:cat>
          <c:val>
            <c:numRef>
              <c:f>NSW!$BW$89:$BW$91</c:f>
              <c:numCache>
                <c:formatCode>#,##0</c:formatCode>
                <c:ptCount val="3"/>
                <c:pt idx="0">
                  <c:v>1092.5261608165272</c:v>
                </c:pt>
                <c:pt idx="1">
                  <c:v>1325.5253814764287</c:v>
                </c:pt>
                <c:pt idx="2">
                  <c:v>2094.5</c:v>
                </c:pt>
              </c:numCache>
            </c:numRef>
          </c:val>
        </c:ser>
        <c:ser>
          <c:idx val="2"/>
          <c:order val="2"/>
          <c:tx>
            <c:strRef>
              <c:f>NSW!$BX$88</c:f>
              <c:strCache>
                <c:ptCount val="1"/>
                <c:pt idx="0">
                  <c:v>Energy recovery</c:v>
                </c:pt>
              </c:strCache>
            </c:strRef>
          </c:tx>
          <c:spPr>
            <a:solidFill>
              <a:schemeClr val="accent6">
                <a:lumMod val="75000"/>
              </a:schemeClr>
            </a:solidFill>
          </c:spPr>
          <c:cat>
            <c:strRef>
              <c:f>NSW!$BU$89:$BU$91</c:f>
              <c:strCache>
                <c:ptCount val="3"/>
                <c:pt idx="0">
                  <c:v>06/07</c:v>
                </c:pt>
                <c:pt idx="1">
                  <c:v>08/09</c:v>
                </c:pt>
                <c:pt idx="2">
                  <c:v>10/11</c:v>
                </c:pt>
              </c:strCache>
            </c:strRef>
          </c:cat>
          <c:val>
            <c:numRef>
              <c:f>NSW!$BX$89:$BX$91</c:f>
              <c:numCache>
                <c:formatCode>#,##0</c:formatCode>
                <c:ptCount val="3"/>
                <c:pt idx="0">
                  <c:v>265.11302990369637</c:v>
                </c:pt>
                <c:pt idx="1">
                  <c:v>321.88799243044684</c:v>
                </c:pt>
                <c:pt idx="2">
                  <c:v>420.05136104157117</c:v>
                </c:pt>
              </c:numCache>
            </c:numRef>
          </c:val>
        </c:ser>
        <c:dLbls/>
        <c:axId val="78619392"/>
        <c:axId val="78620928"/>
      </c:areaChart>
      <c:catAx>
        <c:axId val="78619392"/>
        <c:scaling>
          <c:orientation val="minMax"/>
        </c:scaling>
        <c:axPos val="b"/>
        <c:tickLblPos val="nextTo"/>
        <c:crossAx val="78620928"/>
        <c:crosses val="autoZero"/>
        <c:auto val="1"/>
        <c:lblAlgn val="ctr"/>
        <c:lblOffset val="100"/>
      </c:catAx>
      <c:valAx>
        <c:axId val="78620928"/>
        <c:scaling>
          <c:orientation val="minMax"/>
        </c:scaling>
        <c:axPos val="l"/>
        <c:majorGridlines/>
        <c:title>
          <c:tx>
            <c:rich>
              <a:bodyPr rot="-5400000" vert="horz"/>
              <a:lstStyle/>
              <a:p>
                <a:pPr>
                  <a:defRPr/>
                </a:pPr>
                <a:r>
                  <a:rPr lang="en-US"/>
                  <a:t>Thousands of tonnes</a:t>
                </a:r>
              </a:p>
            </c:rich>
          </c:tx>
          <c:layout>
            <c:manualLayout>
              <c:xMode val="edge"/>
              <c:yMode val="edge"/>
              <c:x val="1.9444444444444445E-2"/>
              <c:y val="0.30540422101846354"/>
            </c:manualLayout>
          </c:layout>
        </c:title>
        <c:numFmt formatCode="#,##0" sourceLinked="0"/>
        <c:tickLblPos val="nextTo"/>
        <c:crossAx val="78619392"/>
        <c:crosses val="autoZero"/>
        <c:crossBetween val="midCat"/>
        <c:majorUnit val="500"/>
      </c:valAx>
    </c:plotArea>
    <c:legend>
      <c:legendPos val="t"/>
    </c:legend>
    <c:plotVisOnly val="1"/>
    <c:dispBlanksAs val="zero"/>
  </c:chart>
  <c:spPr>
    <a:ln>
      <a:noFill/>
    </a:ln>
  </c:spPr>
  <c:printSettings>
    <c:headerFooter/>
    <c:pageMargins b="0.75000000000000622" l="0.70000000000000062" r="0.70000000000000062" t="0.7500000000000062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56"/>
          <c:y val="0.16317884983295219"/>
          <c:w val="0.78381714785651757"/>
          <c:h val="0.72063954730382318"/>
        </c:manualLayout>
      </c:layout>
      <c:barChart>
        <c:barDir val="col"/>
        <c:grouping val="stacked"/>
        <c:ser>
          <c:idx val="0"/>
          <c:order val="0"/>
          <c:tx>
            <c:strRef>
              <c:f>NT!$BG$10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(NT!$BH$7,NT!$BM$7)</c:f>
              <c:strCache>
                <c:ptCount val="2"/>
                <c:pt idx="0">
                  <c:v>2010/11 excl. fly ash</c:v>
                </c:pt>
                <c:pt idx="1">
                  <c:v>2010/11 incl. fly ash</c:v>
                </c:pt>
              </c:strCache>
            </c:strRef>
          </c:cat>
          <c:val>
            <c:numRef>
              <c:f>(NT!$BK$10,NT!$BM$10)</c:f>
              <c:numCache>
                <c:formatCode>#,##0</c:formatCode>
                <c:ptCount val="2"/>
                <c:pt idx="0">
                  <c:v>276.27568802498115</c:v>
                </c:pt>
                <c:pt idx="1">
                  <c:v>276.27568802498115</c:v>
                </c:pt>
              </c:numCache>
            </c:numRef>
          </c:val>
        </c:ser>
        <c:ser>
          <c:idx val="1"/>
          <c:order val="1"/>
          <c:tx>
            <c:strRef>
              <c:f>NT!$BG$11</c:f>
              <c:strCache>
                <c:ptCount val="1"/>
                <c:pt idx="0">
                  <c:v>Recycling</c:v>
                </c:pt>
              </c:strCache>
            </c:strRef>
          </c:tx>
          <c:spPr>
            <a:solidFill>
              <a:srgbClr val="FFCC00"/>
            </a:solidFill>
          </c:spPr>
          <c:dLbls>
            <c:showVal val="1"/>
          </c:dLbls>
          <c:cat>
            <c:strRef>
              <c:f>(NT!$BH$7,NT!$BM$7)</c:f>
              <c:strCache>
                <c:ptCount val="2"/>
                <c:pt idx="0">
                  <c:v>2010/11 excl. fly ash</c:v>
                </c:pt>
                <c:pt idx="1">
                  <c:v>2010/11 incl. fly ash</c:v>
                </c:pt>
              </c:strCache>
            </c:strRef>
          </c:cat>
          <c:val>
            <c:numRef>
              <c:f>(NT!$BK$11,NT!$BM$11)</c:f>
              <c:numCache>
                <c:formatCode>#,##0</c:formatCode>
                <c:ptCount val="2"/>
                <c:pt idx="0">
                  <c:v>13.992091369799335</c:v>
                </c:pt>
                <c:pt idx="1">
                  <c:v>13.992091369799335</c:v>
                </c:pt>
              </c:numCache>
            </c:numRef>
          </c:val>
        </c:ser>
        <c:ser>
          <c:idx val="2"/>
          <c:order val="2"/>
          <c:tx>
            <c:strRef>
              <c:f>NT!$BG$12</c:f>
              <c:strCache>
                <c:ptCount val="1"/>
                <c:pt idx="0">
                  <c:v>Energy recovery</c:v>
                </c:pt>
              </c:strCache>
            </c:strRef>
          </c:tx>
          <c:spPr>
            <a:solidFill>
              <a:schemeClr val="accent6">
                <a:lumMod val="75000"/>
              </a:schemeClr>
            </a:solidFill>
          </c:spPr>
          <c:dLbls>
            <c:dLbl>
              <c:idx val="0"/>
              <c:layout>
                <c:manualLayout>
                  <c:x val="4.5976747952214014E-2"/>
                  <c:y val="-4.6376820061955048E-3"/>
                </c:manualLayout>
              </c:layout>
              <c:showVal val="1"/>
            </c:dLbl>
            <c:dLbl>
              <c:idx val="1"/>
              <c:layout>
                <c:manualLayout>
                  <c:x val="4.9041880572296567E-2"/>
                  <c:y val="9.2753640123910096E-3"/>
                </c:manualLayout>
              </c:layout>
              <c:showVal val="1"/>
            </c:dLbl>
            <c:showVal val="1"/>
          </c:dLbls>
          <c:cat>
            <c:strRef>
              <c:f>(NT!$BH$7,NT!$BM$7)</c:f>
              <c:strCache>
                <c:ptCount val="2"/>
                <c:pt idx="0">
                  <c:v>2010/11 excl. fly ash</c:v>
                </c:pt>
                <c:pt idx="1">
                  <c:v>2010/11 incl. fly ash</c:v>
                </c:pt>
              </c:strCache>
            </c:strRef>
          </c:cat>
          <c:val>
            <c:numRef>
              <c:f>(NT!$BK$12,NT!$BM$12)</c:f>
              <c:numCache>
                <c:formatCode>#,##0</c:formatCode>
                <c:ptCount val="2"/>
                <c:pt idx="0">
                  <c:v>13.831993413643296</c:v>
                </c:pt>
                <c:pt idx="1">
                  <c:v>13.831993413643296</c:v>
                </c:pt>
              </c:numCache>
            </c:numRef>
          </c:val>
        </c:ser>
        <c:ser>
          <c:idx val="3"/>
          <c:order val="3"/>
          <c:tx>
            <c:strRef>
              <c:f>NT!$BG$13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(NT!$BH$7,NT!$BM$7)</c:f>
              <c:strCache>
                <c:ptCount val="2"/>
                <c:pt idx="0">
                  <c:v>2010/11 excl. fly ash</c:v>
                </c:pt>
                <c:pt idx="1">
                  <c:v>2010/11 incl. fly ash</c:v>
                </c:pt>
              </c:strCache>
            </c:strRef>
          </c:cat>
          <c:val>
            <c:numRef>
              <c:f>(NT!$BK$13,NT!$BM$13)</c:f>
              <c:numCache>
                <c:formatCode>0%</c:formatCode>
                <c:ptCount val="2"/>
                <c:pt idx="0">
                  <c:v>9.1496565507042313E-2</c:v>
                </c:pt>
                <c:pt idx="1">
                  <c:v>9.1496565507042313E-2</c:v>
                </c:pt>
              </c:numCache>
            </c:numRef>
          </c:val>
        </c:ser>
        <c:dLbls/>
        <c:overlap val="100"/>
        <c:axId val="78818688"/>
        <c:axId val="79901824"/>
      </c:barChart>
      <c:catAx>
        <c:axId val="78818688"/>
        <c:scaling>
          <c:orientation val="minMax"/>
        </c:scaling>
        <c:axPos val="b"/>
        <c:majorTickMark val="none"/>
        <c:tickLblPos val="nextTo"/>
        <c:crossAx val="79901824"/>
        <c:crosses val="autoZero"/>
        <c:auto val="1"/>
        <c:lblAlgn val="ctr"/>
        <c:lblOffset val="100"/>
      </c:catAx>
      <c:valAx>
        <c:axId val="79901824"/>
        <c:scaling>
          <c:orientation val="minMax"/>
          <c:max val="400"/>
        </c:scaling>
        <c:axPos val="l"/>
        <c:majorGridlines/>
        <c:title>
          <c:tx>
            <c:rich>
              <a:bodyPr rot="-5400000" vert="horz"/>
              <a:lstStyle/>
              <a:p>
                <a:pPr>
                  <a:defRPr/>
                </a:pPr>
                <a:r>
                  <a:rPr lang="en-US"/>
                  <a:t>Thousands of tonnes</a:t>
                </a:r>
              </a:p>
            </c:rich>
          </c:tx>
          <c:layout>
            <c:manualLayout>
              <c:xMode val="edge"/>
              <c:yMode val="edge"/>
              <c:x val="2.3249919429915156E-2"/>
              <c:y val="0.25832765186856632"/>
            </c:manualLayout>
          </c:layout>
        </c:title>
        <c:numFmt formatCode="#,##0" sourceLinked="1"/>
        <c:tickLblPos val="nextTo"/>
        <c:spPr>
          <a:ln>
            <a:noFill/>
          </a:ln>
        </c:spPr>
        <c:crossAx val="78818688"/>
        <c:crosses val="autoZero"/>
        <c:crossBetween val="between"/>
        <c:majorUnit val="100"/>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7"/>
          <c:y val="0.16317884983295219"/>
          <c:w val="0.78381714785651757"/>
          <c:h val="0.72063954730382362"/>
        </c:manualLayout>
      </c:layout>
      <c:barChart>
        <c:barDir val="col"/>
        <c:grouping val="stacked"/>
        <c:ser>
          <c:idx val="0"/>
          <c:order val="0"/>
          <c:tx>
            <c:strRef>
              <c:f>NT!$BG$10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NT!$BH$9:$BJ$9</c:f>
              <c:strCache>
                <c:ptCount val="3"/>
                <c:pt idx="0">
                  <c:v>MSW</c:v>
                </c:pt>
                <c:pt idx="1">
                  <c:v>C&amp;I</c:v>
                </c:pt>
                <c:pt idx="2">
                  <c:v>C&amp;D</c:v>
                </c:pt>
              </c:strCache>
            </c:strRef>
          </c:cat>
          <c:val>
            <c:numRef>
              <c:f>NT!$BH$10:$BJ$10</c:f>
              <c:numCache>
                <c:formatCode>#,##0</c:formatCode>
                <c:ptCount val="3"/>
                <c:pt idx="0">
                  <c:v>115.25616749664844</c:v>
                </c:pt>
                <c:pt idx="1">
                  <c:v>37.739951001677284</c:v>
                </c:pt>
                <c:pt idx="2">
                  <c:v>123.27956952665539</c:v>
                </c:pt>
              </c:numCache>
            </c:numRef>
          </c:val>
        </c:ser>
        <c:ser>
          <c:idx val="1"/>
          <c:order val="1"/>
          <c:tx>
            <c:strRef>
              <c:f>NT!$BG$11</c:f>
              <c:strCache>
                <c:ptCount val="1"/>
                <c:pt idx="0">
                  <c:v>Recycling</c:v>
                </c:pt>
              </c:strCache>
            </c:strRef>
          </c:tx>
          <c:spPr>
            <a:solidFill>
              <a:srgbClr val="FFCC00"/>
            </a:solidFill>
          </c:spPr>
          <c:dLbls>
            <c:dLbl>
              <c:idx val="1"/>
              <c:layout>
                <c:manualLayout>
                  <c:x val="0"/>
                  <c:y val="2.3540856175378263E-2"/>
                </c:manualLayout>
              </c:layout>
              <c:showVal val="1"/>
            </c:dLbl>
            <c:dLbl>
              <c:idx val="2"/>
              <c:layout>
                <c:manualLayout>
                  <c:x val="-3.1248677467390659E-3"/>
                  <c:y val="-5.1789883585832176E-2"/>
                </c:manualLayout>
              </c:layout>
              <c:showVal val="1"/>
            </c:dLbl>
            <c:showVal val="1"/>
          </c:dLbls>
          <c:cat>
            <c:strRef>
              <c:f>NT!$BH$9:$BJ$9</c:f>
              <c:strCache>
                <c:ptCount val="3"/>
                <c:pt idx="0">
                  <c:v>MSW</c:v>
                </c:pt>
                <c:pt idx="1">
                  <c:v>C&amp;I</c:v>
                </c:pt>
                <c:pt idx="2">
                  <c:v>C&amp;D</c:v>
                </c:pt>
              </c:strCache>
            </c:strRef>
          </c:cat>
          <c:val>
            <c:numRef>
              <c:f>NT!$BH$11:$BJ$11</c:f>
              <c:numCache>
                <c:formatCode>#,##0.0</c:formatCode>
                <c:ptCount val="3"/>
                <c:pt idx="0" formatCode="#,##0">
                  <c:v>13.555261369799334</c:v>
                </c:pt>
                <c:pt idx="1">
                  <c:v>0.43683</c:v>
                </c:pt>
                <c:pt idx="2" formatCode="#,##0">
                  <c:v>0</c:v>
                </c:pt>
              </c:numCache>
            </c:numRef>
          </c:val>
        </c:ser>
        <c:ser>
          <c:idx val="2"/>
          <c:order val="2"/>
          <c:tx>
            <c:strRef>
              <c:f>NT!$BG$12</c:f>
              <c:strCache>
                <c:ptCount val="1"/>
                <c:pt idx="0">
                  <c:v>Energy recovery</c:v>
                </c:pt>
              </c:strCache>
            </c:strRef>
          </c:tx>
          <c:spPr>
            <a:solidFill>
              <a:schemeClr val="accent6">
                <a:lumMod val="75000"/>
              </a:schemeClr>
            </a:solidFill>
          </c:spPr>
          <c:dLbls>
            <c:dLbl>
              <c:idx val="1"/>
              <c:layout>
                <c:manualLayout>
                  <c:x val="0"/>
                  <c:y val="-3.2957198645529588E-2"/>
                </c:manualLayout>
              </c:layout>
              <c:showVal val="1"/>
            </c:dLbl>
            <c:dLbl>
              <c:idx val="2"/>
              <c:layout>
                <c:manualLayout>
                  <c:x val="-3.1248677467391808E-3"/>
                  <c:y val="4.7081712350756531E-3"/>
                </c:manualLayout>
              </c:layout>
              <c:showVal val="1"/>
            </c:dLbl>
            <c:showVal val="1"/>
          </c:dLbls>
          <c:cat>
            <c:strRef>
              <c:f>NT!$BH$9:$BJ$9</c:f>
              <c:strCache>
                <c:ptCount val="3"/>
                <c:pt idx="0">
                  <c:v>MSW</c:v>
                </c:pt>
                <c:pt idx="1">
                  <c:v>C&amp;I</c:v>
                </c:pt>
                <c:pt idx="2">
                  <c:v>C&amp;D</c:v>
                </c:pt>
              </c:strCache>
            </c:strRef>
          </c:cat>
          <c:val>
            <c:numRef>
              <c:f>NT!$BH$12:$BJ$12</c:f>
              <c:numCache>
                <c:formatCode>#,##0</c:formatCode>
                <c:ptCount val="3"/>
                <c:pt idx="0">
                  <c:v>9.4913340946544462</c:v>
                </c:pt>
                <c:pt idx="1">
                  <c:v>2.8755146327004066</c:v>
                </c:pt>
                <c:pt idx="2">
                  <c:v>1.4651446862884423</c:v>
                </c:pt>
              </c:numCache>
            </c:numRef>
          </c:val>
        </c:ser>
        <c:ser>
          <c:idx val="3"/>
          <c:order val="3"/>
          <c:tx>
            <c:strRef>
              <c:f>NT!$BG$13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9.3599556319737501E-2"/>
                </c:manualLayout>
              </c:layout>
              <c:showVal val="1"/>
            </c:dLbl>
            <c:dLbl>
              <c:idx val="2"/>
              <c:layout>
                <c:manualLayout>
                  <c:x val="0"/>
                  <c:y val="-0.10758319561005665"/>
                </c:manualLayout>
              </c:layout>
              <c:showVal val="1"/>
            </c:dLbl>
            <c:showVal val="1"/>
          </c:dLbls>
          <c:cat>
            <c:strRef>
              <c:f>NT!$BH$9:$BJ$9</c:f>
              <c:strCache>
                <c:ptCount val="3"/>
                <c:pt idx="0">
                  <c:v>MSW</c:v>
                </c:pt>
                <c:pt idx="1">
                  <c:v>C&amp;I</c:v>
                </c:pt>
                <c:pt idx="2">
                  <c:v>C&amp;D</c:v>
                </c:pt>
              </c:strCache>
            </c:strRef>
          </c:cat>
          <c:val>
            <c:numRef>
              <c:f>NT!$BH$13:$BJ$13</c:f>
              <c:numCache>
                <c:formatCode>0%</c:formatCode>
                <c:ptCount val="3"/>
                <c:pt idx="0">
                  <c:v>0.16663872052169815</c:v>
                </c:pt>
                <c:pt idx="1">
                  <c:v>8.0685978250790172E-2</c:v>
                </c:pt>
                <c:pt idx="2">
                  <c:v>1.1745144437842763E-2</c:v>
                </c:pt>
              </c:numCache>
            </c:numRef>
          </c:val>
        </c:ser>
        <c:dLbls/>
        <c:overlap val="100"/>
        <c:axId val="79946880"/>
        <c:axId val="79948416"/>
      </c:barChart>
      <c:catAx>
        <c:axId val="79946880"/>
        <c:scaling>
          <c:orientation val="minMax"/>
        </c:scaling>
        <c:axPos val="b"/>
        <c:majorTickMark val="none"/>
        <c:tickLblPos val="nextTo"/>
        <c:crossAx val="79948416"/>
        <c:crosses val="autoZero"/>
        <c:auto val="1"/>
        <c:lblAlgn val="ctr"/>
        <c:lblOffset val="100"/>
      </c:catAx>
      <c:valAx>
        <c:axId val="79948416"/>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68"/>
            </c:manualLayout>
          </c:layout>
        </c:title>
        <c:numFmt formatCode="#,##0" sourceLinked="1"/>
        <c:tickLblPos val="nextTo"/>
        <c:spPr>
          <a:ln>
            <a:noFill/>
          </a:ln>
        </c:spPr>
        <c:crossAx val="79946880"/>
        <c:crosses val="autoZero"/>
        <c:crossBetween val="between"/>
        <c:majorUnit val="25"/>
      </c:valAx>
    </c:plotArea>
    <c:legend>
      <c:legendPos val="t"/>
      <c:legendEntry>
        <c:idx val="3"/>
        <c:delete val="1"/>
      </c:legendEntry>
    </c:legend>
    <c:plotVisOnly val="1"/>
    <c:dispBlanksAs val="gap"/>
  </c:chart>
  <c:spPr>
    <a:ln>
      <a:noFill/>
    </a:ln>
  </c:spPr>
  <c:printSettings>
    <c:headerFooter/>
    <c:pageMargins b="0.75000000000000944" l="0.70000000000000062" r="0.70000000000000062" t="0.75000000000000944"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45"/>
        </c:manualLayout>
      </c:layout>
      <c:barChart>
        <c:barDir val="col"/>
        <c:grouping val="stacked"/>
        <c:ser>
          <c:idx val="0"/>
          <c:order val="0"/>
          <c:tx>
            <c:strRef>
              <c:f>NT!$BH$22</c:f>
              <c:strCache>
                <c:ptCount val="1"/>
                <c:pt idx="0">
                  <c:v>Disposal</c:v>
                </c:pt>
              </c:strCache>
            </c:strRef>
          </c:tx>
          <c:spPr>
            <a:solidFill>
              <a:schemeClr val="accent2">
                <a:lumMod val="75000"/>
              </a:schemeClr>
            </a:solidFill>
          </c:spPr>
          <c:cat>
            <c:strRef>
              <c:f>NT!$BG$23:$BG$31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NT!$BH$23:$BH$31</c:f>
              <c:numCache>
                <c:formatCode>#,##0</c:formatCode>
                <c:ptCount val="9"/>
                <c:pt idx="0">
                  <c:v>77.456853108885653</c:v>
                </c:pt>
                <c:pt idx="1">
                  <c:v>9.9206020782611422</c:v>
                </c:pt>
                <c:pt idx="2">
                  <c:v>86.635365553420499</c:v>
                </c:pt>
                <c:pt idx="3">
                  <c:v>27.481446816742992</c:v>
                </c:pt>
                <c:pt idx="4">
                  <c:v>24.800145895272987</c:v>
                </c:pt>
                <c:pt idx="5">
                  <c:v>7.186293898407305</c:v>
                </c:pt>
                <c:pt idx="6">
                  <c:v>4.0867341508632258</c:v>
                </c:pt>
                <c:pt idx="7">
                  <c:v>38.708246523127322</c:v>
                </c:pt>
                <c:pt idx="8">
                  <c:v>0</c:v>
                </c:pt>
              </c:numCache>
            </c:numRef>
          </c:val>
        </c:ser>
        <c:ser>
          <c:idx val="1"/>
          <c:order val="1"/>
          <c:tx>
            <c:strRef>
              <c:f>NT!$BI$22</c:f>
              <c:strCache>
                <c:ptCount val="1"/>
                <c:pt idx="0">
                  <c:v>Recycling</c:v>
                </c:pt>
              </c:strCache>
            </c:strRef>
          </c:tx>
          <c:spPr>
            <a:solidFill>
              <a:srgbClr val="FFCC00"/>
            </a:solidFill>
          </c:spPr>
          <c:cat>
            <c:strRef>
              <c:f>NT!$BG$23:$BG$31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NT!$BI$23:$BI$31</c:f>
              <c:numCache>
                <c:formatCode>#,##0</c:formatCode>
                <c:ptCount val="9"/>
                <c:pt idx="0">
                  <c:v>0</c:v>
                </c:pt>
                <c:pt idx="1">
                  <c:v>0.82860999999999985</c:v>
                </c:pt>
                <c:pt idx="2">
                  <c:v>4.1597613697993339</c:v>
                </c:pt>
                <c:pt idx="3">
                  <c:v>5.80532</c:v>
                </c:pt>
                <c:pt idx="4">
                  <c:v>0.40339999999999998</c:v>
                </c:pt>
                <c:pt idx="5">
                  <c:v>2.7949999999999999</c:v>
                </c:pt>
                <c:pt idx="6">
                  <c:v>0</c:v>
                </c:pt>
                <c:pt idx="7">
                  <c:v>0</c:v>
                </c:pt>
                <c:pt idx="8">
                  <c:v>0</c:v>
                </c:pt>
              </c:numCache>
            </c:numRef>
          </c:val>
        </c:ser>
        <c:ser>
          <c:idx val="2"/>
          <c:order val="2"/>
          <c:tx>
            <c:strRef>
              <c:f>NT!$BJ$22</c:f>
              <c:strCache>
                <c:ptCount val="1"/>
                <c:pt idx="0">
                  <c:v>Energy recovery</c:v>
                </c:pt>
              </c:strCache>
            </c:strRef>
          </c:tx>
          <c:spPr>
            <a:solidFill>
              <a:schemeClr val="accent6">
                <a:lumMod val="75000"/>
              </a:schemeClr>
            </a:solidFill>
          </c:spPr>
          <c:cat>
            <c:strRef>
              <c:f>NT!$BG$23:$BG$31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NT!$BJ$23:$BJ$31</c:f>
              <c:numCache>
                <c:formatCode>#,##0</c:formatCode>
                <c:ptCount val="9"/>
                <c:pt idx="0">
                  <c:v>0</c:v>
                </c:pt>
                <c:pt idx="1">
                  <c:v>0</c:v>
                </c:pt>
                <c:pt idx="2">
                  <c:v>11.146541270677336</c:v>
                </c:pt>
                <c:pt idx="3">
                  <c:v>2.6356139671640348</c:v>
                </c:pt>
                <c:pt idx="4">
                  <c:v>0</c:v>
                </c:pt>
                <c:pt idx="5">
                  <c:v>0</c:v>
                </c:pt>
                <c:pt idx="6">
                  <c:v>4.9838175801926371E-2</c:v>
                </c:pt>
                <c:pt idx="7">
                  <c:v>0</c:v>
                </c:pt>
                <c:pt idx="8">
                  <c:v>0</c:v>
                </c:pt>
              </c:numCache>
            </c:numRef>
          </c:val>
        </c:ser>
        <c:ser>
          <c:idx val="3"/>
          <c:order val="3"/>
          <c:tx>
            <c:strRef>
              <c:f>NT!$BK$22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849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888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66E-2"/>
                </c:manualLayout>
              </c:layout>
              <c:showVal val="1"/>
            </c:dLbl>
            <c:showVal val="1"/>
          </c:dLbls>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NT!$BK$23:$BK$31</c:f>
              <c:numCache>
                <c:formatCode>0%</c:formatCode>
                <c:ptCount val="9"/>
                <c:pt idx="0">
                  <c:v>0</c:v>
                </c:pt>
                <c:pt idx="1">
                  <c:v>7.7085649996221944E-2</c:v>
                </c:pt>
                <c:pt idx="2">
                  <c:v>0.15014765710291755</c:v>
                </c:pt>
                <c:pt idx="3">
                  <c:v>0.23497701942254104</c:v>
                </c:pt>
                <c:pt idx="4">
                  <c:v>1.6005684346013353E-2</c:v>
                </c:pt>
                <c:pt idx="5">
                  <c:v>0.28002381539391324</c:v>
                </c:pt>
                <c:pt idx="6">
                  <c:v>1.2048181892205721E-2</c:v>
                </c:pt>
                <c:pt idx="7">
                  <c:v>0</c:v>
                </c:pt>
                <c:pt idx="8">
                  <c:v>0</c:v>
                </c:pt>
              </c:numCache>
            </c:numRef>
          </c:val>
        </c:ser>
        <c:dLbls/>
        <c:overlap val="100"/>
        <c:axId val="80016896"/>
        <c:axId val="80018432"/>
      </c:barChart>
      <c:catAx>
        <c:axId val="80016896"/>
        <c:scaling>
          <c:orientation val="minMax"/>
        </c:scaling>
        <c:axPos val="b"/>
        <c:majorTickMark val="none"/>
        <c:tickLblPos val="nextTo"/>
        <c:crossAx val="80018432"/>
        <c:crosses val="autoZero"/>
        <c:auto val="1"/>
        <c:lblAlgn val="ctr"/>
        <c:lblOffset val="100"/>
      </c:catAx>
      <c:valAx>
        <c:axId val="80018432"/>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95"/>
            </c:manualLayout>
          </c:layout>
        </c:title>
        <c:numFmt formatCode="#,##0" sourceLinked="1"/>
        <c:tickLblPos val="nextTo"/>
        <c:spPr>
          <a:ln>
            <a:noFill/>
          </a:ln>
        </c:spPr>
        <c:crossAx val="80016896"/>
        <c:crosses val="autoZero"/>
        <c:crossBetween val="between"/>
      </c:valAx>
    </c:plotArea>
    <c:legend>
      <c:legendPos val="t"/>
      <c:legendEntry>
        <c:idx val="3"/>
        <c:delete val="1"/>
      </c:legendEntry>
    </c:legend>
    <c:plotVisOnly val="1"/>
    <c:dispBlanksAs val="gap"/>
  </c:chart>
  <c:spPr>
    <a:ln>
      <a:noFill/>
    </a:ln>
  </c:spPr>
  <c:printSettings>
    <c:headerFooter/>
    <c:pageMargins b="0.75000000000000966" l="0.70000000000000062" r="0.70000000000000062" t="0.75000000000000966"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9175759290067015"/>
          <c:y val="0.16317884983295219"/>
          <c:w val="0.77768689646151734"/>
          <c:h val="0.72063954730382218"/>
        </c:manualLayout>
      </c:layout>
      <c:barChart>
        <c:barDir val="col"/>
        <c:grouping val="stacked"/>
        <c:ser>
          <c:idx val="0"/>
          <c:order val="0"/>
          <c:tx>
            <c:strRef>
              <c:f>Qld!$BG$57</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(Qld!$BH$54,Qld!$BM$54)</c:f>
              <c:strCache>
                <c:ptCount val="2"/>
                <c:pt idx="0">
                  <c:v>2010/11 excl. fly ash</c:v>
                </c:pt>
                <c:pt idx="1">
                  <c:v>2010/11 incl. fly ash</c:v>
                </c:pt>
              </c:strCache>
            </c:strRef>
          </c:cat>
          <c:val>
            <c:numRef>
              <c:f>(Qld!$BK$57,Qld!$BM$57)</c:f>
              <c:numCache>
                <c:formatCode>#,##0</c:formatCode>
                <c:ptCount val="2"/>
                <c:pt idx="0">
                  <c:v>3579.0600809148996</c:v>
                </c:pt>
                <c:pt idx="1">
                  <c:v>8467.4460809149004</c:v>
                </c:pt>
              </c:numCache>
            </c:numRef>
          </c:val>
        </c:ser>
        <c:ser>
          <c:idx val="1"/>
          <c:order val="1"/>
          <c:tx>
            <c:strRef>
              <c:f>Qld!$BG$58</c:f>
              <c:strCache>
                <c:ptCount val="1"/>
                <c:pt idx="0">
                  <c:v>Recycling</c:v>
                </c:pt>
              </c:strCache>
            </c:strRef>
          </c:tx>
          <c:spPr>
            <a:solidFill>
              <a:srgbClr val="FFCC00"/>
            </a:solidFill>
          </c:spPr>
          <c:dLbls>
            <c:showVal val="1"/>
          </c:dLbls>
          <c:cat>
            <c:strRef>
              <c:f>(Qld!$BH$54,Qld!$BM$54)</c:f>
              <c:strCache>
                <c:ptCount val="2"/>
                <c:pt idx="0">
                  <c:v>2010/11 excl. fly ash</c:v>
                </c:pt>
                <c:pt idx="1">
                  <c:v>2010/11 incl. fly ash</c:v>
                </c:pt>
              </c:strCache>
            </c:strRef>
          </c:cat>
          <c:val>
            <c:numRef>
              <c:f>(Qld!$BK$58,Qld!$BM$58)</c:f>
              <c:numCache>
                <c:formatCode>#,##0</c:formatCode>
                <c:ptCount val="2"/>
                <c:pt idx="0">
                  <c:v>3573.6625370000002</c:v>
                </c:pt>
                <c:pt idx="1">
                  <c:v>4411.4845370000003</c:v>
                </c:pt>
              </c:numCache>
            </c:numRef>
          </c:val>
        </c:ser>
        <c:ser>
          <c:idx val="2"/>
          <c:order val="2"/>
          <c:tx>
            <c:strRef>
              <c:f>Qld!$BG$59</c:f>
              <c:strCache>
                <c:ptCount val="1"/>
                <c:pt idx="0">
                  <c:v>Energy recovery</c:v>
                </c:pt>
              </c:strCache>
            </c:strRef>
          </c:tx>
          <c:spPr>
            <a:solidFill>
              <a:schemeClr val="accent6">
                <a:lumMod val="75000"/>
              </a:schemeClr>
            </a:solidFill>
          </c:spPr>
          <c:dLbls>
            <c:dLbl>
              <c:idx val="0"/>
              <c:layout>
                <c:manualLayout>
                  <c:x val="-2.1371375521569828E-7"/>
                  <c:y val="9.2753640123910096E-3"/>
                </c:manualLayout>
              </c:layout>
              <c:showVal val="1"/>
            </c:dLbl>
            <c:dLbl>
              <c:idx val="1"/>
              <c:layout>
                <c:manualLayout>
                  <c:x val="-2.1371375521569828E-7"/>
                  <c:y val="9.2753640123910547E-3"/>
                </c:manualLayout>
              </c:layout>
              <c:showVal val="1"/>
            </c:dLbl>
            <c:showVal val="1"/>
          </c:dLbls>
          <c:cat>
            <c:strRef>
              <c:f>(Qld!$BH$54,Qld!$BM$54)</c:f>
              <c:strCache>
                <c:ptCount val="2"/>
                <c:pt idx="0">
                  <c:v>2010/11 excl. fly ash</c:v>
                </c:pt>
                <c:pt idx="1">
                  <c:v>2010/11 incl. fly ash</c:v>
                </c:pt>
              </c:strCache>
            </c:strRef>
          </c:cat>
          <c:val>
            <c:numRef>
              <c:f>(Qld!$BK$59,Qld!$BM$59)</c:f>
              <c:numCache>
                <c:formatCode>#,##0</c:formatCode>
                <c:ptCount val="2"/>
                <c:pt idx="0">
                  <c:v>355.57891908509981</c:v>
                </c:pt>
                <c:pt idx="1">
                  <c:v>355.57891908509981</c:v>
                </c:pt>
              </c:numCache>
            </c:numRef>
          </c:val>
        </c:ser>
        <c:ser>
          <c:idx val="3"/>
          <c:order val="3"/>
          <c:tx>
            <c:strRef>
              <c:f>Qld!$BG$60</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(Qld!$BH$54,Qld!$BM$54)</c:f>
              <c:strCache>
                <c:ptCount val="2"/>
                <c:pt idx="0">
                  <c:v>2010/11 excl. fly ash</c:v>
                </c:pt>
                <c:pt idx="1">
                  <c:v>2010/11 incl. fly ash</c:v>
                </c:pt>
              </c:strCache>
            </c:strRef>
          </c:cat>
          <c:val>
            <c:numRef>
              <c:f>(Qld!$BK$60,Qld!$BM$60)</c:f>
              <c:numCache>
                <c:formatCode>0%</c:formatCode>
                <c:ptCount val="2"/>
                <c:pt idx="0">
                  <c:v>0.5233196131937794</c:v>
                </c:pt>
                <c:pt idx="1">
                  <c:v>0.36019948021176906</c:v>
                </c:pt>
              </c:numCache>
            </c:numRef>
          </c:val>
        </c:ser>
        <c:dLbls/>
        <c:overlap val="100"/>
        <c:axId val="83468672"/>
        <c:axId val="83470208"/>
      </c:barChart>
      <c:catAx>
        <c:axId val="83468672"/>
        <c:scaling>
          <c:orientation val="minMax"/>
        </c:scaling>
        <c:axPos val="b"/>
        <c:majorTickMark val="none"/>
        <c:tickLblPos val="nextTo"/>
        <c:crossAx val="83470208"/>
        <c:crosses val="autoZero"/>
        <c:auto val="1"/>
        <c:lblAlgn val="ctr"/>
        <c:lblOffset val="100"/>
      </c:catAx>
      <c:valAx>
        <c:axId val="83470208"/>
        <c:scaling>
          <c:orientation val="minMax"/>
        </c:scaling>
        <c:axPos val="l"/>
        <c:majorGridlines/>
        <c:title>
          <c:tx>
            <c:rich>
              <a:bodyPr rot="-5400000" vert="horz"/>
              <a:lstStyle/>
              <a:p>
                <a:pPr>
                  <a:defRPr/>
                </a:pPr>
                <a:r>
                  <a:rPr lang="en-US"/>
                  <a:t>Thousands of tonnes</a:t>
                </a:r>
              </a:p>
            </c:rich>
          </c:tx>
          <c:layout>
            <c:manualLayout>
              <c:xMode val="edge"/>
              <c:yMode val="edge"/>
              <c:x val="2.324991942991509E-2"/>
              <c:y val="0.25832765186856632"/>
            </c:manualLayout>
          </c:layout>
        </c:title>
        <c:numFmt formatCode="#,##0" sourceLinked="0"/>
        <c:tickLblPos val="nextTo"/>
        <c:spPr>
          <a:ln>
            <a:noFill/>
          </a:ln>
        </c:spPr>
        <c:crossAx val="83468672"/>
        <c:crosses val="autoZero"/>
        <c:crossBetween val="between"/>
      </c:valAx>
    </c:plotArea>
    <c:legend>
      <c:legendPos val="t"/>
      <c:legendEntry>
        <c:idx val="3"/>
        <c:delete val="1"/>
      </c:legendEntry>
    </c:legend>
    <c:plotVisOnly val="1"/>
    <c:dispBlanksAs val="gap"/>
  </c:chart>
  <c:spPr>
    <a:ln>
      <a:noFill/>
    </a:ln>
  </c:spPr>
  <c:printSettings>
    <c:headerFooter/>
    <c:pageMargins b="0.75000000000000855" l="0.70000000000000062" r="0.70000000000000062" t="0.7500000000000085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575287404"/>
          <c:y val="0.16317884983295219"/>
          <c:w val="0.78381720900367569"/>
          <c:h val="0.72063954730382263"/>
        </c:manualLayout>
      </c:layout>
      <c:barChart>
        <c:barDir val="col"/>
        <c:grouping val="stacked"/>
        <c:ser>
          <c:idx val="0"/>
          <c:order val="0"/>
          <c:tx>
            <c:strRef>
              <c:f>Qld!$BG$57</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Qld!$BH$56:$BJ$56</c:f>
              <c:strCache>
                <c:ptCount val="3"/>
                <c:pt idx="0">
                  <c:v>MSW</c:v>
                </c:pt>
                <c:pt idx="1">
                  <c:v>C&amp;I</c:v>
                </c:pt>
                <c:pt idx="2">
                  <c:v>C&amp;D</c:v>
                </c:pt>
              </c:strCache>
            </c:strRef>
          </c:cat>
          <c:val>
            <c:numRef>
              <c:f>Qld!$BH$57:$BJ$57</c:f>
              <c:numCache>
                <c:formatCode>#,##0</c:formatCode>
                <c:ptCount val="3"/>
                <c:pt idx="0">
                  <c:v>1602.0147232249228</c:v>
                </c:pt>
                <c:pt idx="1">
                  <c:v>1099.0219549128326</c:v>
                </c:pt>
                <c:pt idx="2">
                  <c:v>878.02340277714427</c:v>
                </c:pt>
              </c:numCache>
            </c:numRef>
          </c:val>
        </c:ser>
        <c:ser>
          <c:idx val="1"/>
          <c:order val="1"/>
          <c:tx>
            <c:strRef>
              <c:f>Qld!$BG$58</c:f>
              <c:strCache>
                <c:ptCount val="1"/>
                <c:pt idx="0">
                  <c:v>Recycling</c:v>
                </c:pt>
              </c:strCache>
            </c:strRef>
          </c:tx>
          <c:spPr>
            <a:solidFill>
              <a:srgbClr val="FFCC00"/>
            </a:solidFill>
          </c:spPr>
          <c:dLbls>
            <c:showVal val="1"/>
          </c:dLbls>
          <c:cat>
            <c:strRef>
              <c:f>Qld!$BH$56:$BJ$56</c:f>
              <c:strCache>
                <c:ptCount val="3"/>
                <c:pt idx="0">
                  <c:v>MSW</c:v>
                </c:pt>
                <c:pt idx="1">
                  <c:v>C&amp;I</c:v>
                </c:pt>
                <c:pt idx="2">
                  <c:v>C&amp;D</c:v>
                </c:pt>
              </c:strCache>
            </c:strRef>
          </c:cat>
          <c:val>
            <c:numRef>
              <c:f>Qld!$BH$58:$BJ$58</c:f>
              <c:numCache>
                <c:formatCode>#,##0</c:formatCode>
                <c:ptCount val="3"/>
                <c:pt idx="0">
                  <c:v>1219.7004394041974</c:v>
                </c:pt>
                <c:pt idx="1">
                  <c:v>1074.889801411143</c:v>
                </c:pt>
                <c:pt idx="2">
                  <c:v>1279.07229618466</c:v>
                </c:pt>
              </c:numCache>
            </c:numRef>
          </c:val>
        </c:ser>
        <c:ser>
          <c:idx val="2"/>
          <c:order val="2"/>
          <c:tx>
            <c:strRef>
              <c:f>Qld!$BG$59</c:f>
              <c:strCache>
                <c:ptCount val="1"/>
                <c:pt idx="0">
                  <c:v>Energy recovery</c:v>
                </c:pt>
              </c:strCache>
            </c:strRef>
          </c:tx>
          <c:spPr>
            <a:solidFill>
              <a:schemeClr val="accent6">
                <a:lumMod val="75000"/>
              </a:schemeClr>
            </a:solidFill>
          </c:spPr>
          <c:dLbls>
            <c:showVal val="1"/>
          </c:dLbls>
          <c:cat>
            <c:strRef>
              <c:f>Qld!$BH$56:$BJ$56</c:f>
              <c:strCache>
                <c:ptCount val="3"/>
                <c:pt idx="0">
                  <c:v>MSW</c:v>
                </c:pt>
                <c:pt idx="1">
                  <c:v>C&amp;I</c:v>
                </c:pt>
                <c:pt idx="2">
                  <c:v>C&amp;D</c:v>
                </c:pt>
              </c:strCache>
            </c:strRef>
          </c:cat>
          <c:val>
            <c:numRef>
              <c:f>Qld!$BH$59:$BJ$59</c:f>
              <c:numCache>
                <c:formatCode>#,##0</c:formatCode>
                <c:ptCount val="3"/>
                <c:pt idx="0">
                  <c:v>237.52827677507676</c:v>
                </c:pt>
                <c:pt idx="1">
                  <c:v>110.28004508716732</c:v>
                </c:pt>
                <c:pt idx="2">
                  <c:v>7.7705972228557663</c:v>
                </c:pt>
              </c:numCache>
            </c:numRef>
          </c:val>
        </c:ser>
        <c:ser>
          <c:idx val="3"/>
          <c:order val="3"/>
          <c:tx>
            <c:strRef>
              <c:f>Qld!$BG$60</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035E-17"/>
                  <c:y val="-4.6376820061955051E-2"/>
                </c:manualLayout>
              </c:layout>
              <c:showVal val="1"/>
            </c:dLbl>
            <c:showVal val="1"/>
          </c:dLbls>
          <c:cat>
            <c:strRef>
              <c:f>Qld!$BH$56:$BJ$56</c:f>
              <c:strCache>
                <c:ptCount val="3"/>
                <c:pt idx="0">
                  <c:v>MSW</c:v>
                </c:pt>
                <c:pt idx="1">
                  <c:v>C&amp;I</c:v>
                </c:pt>
                <c:pt idx="2">
                  <c:v>C&amp;D</c:v>
                </c:pt>
              </c:strCache>
            </c:strRef>
          </c:cat>
          <c:val>
            <c:numRef>
              <c:f>Qld!$BH$60:$BJ$60</c:f>
              <c:numCache>
                <c:formatCode>0%</c:formatCode>
                <c:ptCount val="3"/>
                <c:pt idx="0">
                  <c:v>0.47633630505164271</c:v>
                </c:pt>
                <c:pt idx="1">
                  <c:v>0.51885741195906943</c:v>
                </c:pt>
                <c:pt idx="2">
                  <c:v>0.59442141793025982</c:v>
                </c:pt>
              </c:numCache>
            </c:numRef>
          </c:val>
        </c:ser>
        <c:dLbls/>
        <c:overlap val="100"/>
        <c:axId val="83670912"/>
        <c:axId val="83672448"/>
      </c:barChart>
      <c:catAx>
        <c:axId val="83670912"/>
        <c:scaling>
          <c:orientation val="minMax"/>
        </c:scaling>
        <c:axPos val="b"/>
        <c:majorTickMark val="none"/>
        <c:tickLblPos val="nextTo"/>
        <c:crossAx val="83672448"/>
        <c:crosses val="autoZero"/>
        <c:auto val="1"/>
        <c:lblAlgn val="ctr"/>
        <c:lblOffset val="100"/>
      </c:catAx>
      <c:valAx>
        <c:axId val="83672448"/>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895"/>
            </c:manualLayout>
          </c:layout>
        </c:title>
        <c:numFmt formatCode="#,##0" sourceLinked="0"/>
        <c:tickLblPos val="nextTo"/>
        <c:spPr>
          <a:ln>
            <a:noFill/>
          </a:ln>
        </c:spPr>
        <c:crossAx val="83670912"/>
        <c:crosses val="autoZero"/>
        <c:crossBetween val="between"/>
      </c:valAx>
    </c:plotArea>
    <c:legend>
      <c:legendPos val="t"/>
      <c:legendEntry>
        <c:idx val="3"/>
        <c:delete val="1"/>
      </c:legendEntry>
    </c:legend>
    <c:plotVisOnly val="1"/>
    <c:dispBlanksAs val="gap"/>
  </c:chart>
  <c:spPr>
    <a:ln>
      <a:noFill/>
    </a:ln>
  </c:spPr>
  <c:printSettings>
    <c:headerFooter/>
    <c:pageMargins b="0.75000000000000877" l="0.70000000000000062" r="0.70000000000000062" t="0.7500000000000087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2906164002226994"/>
          <c:y val="0.16317884983295219"/>
          <c:w val="0.840382724886655"/>
          <c:h val="0.65571199921708079"/>
        </c:manualLayout>
      </c:layout>
      <c:barChart>
        <c:barDir val="col"/>
        <c:grouping val="stacked"/>
        <c:ser>
          <c:idx val="0"/>
          <c:order val="0"/>
          <c:tx>
            <c:strRef>
              <c:f>Qld!$BH$69</c:f>
              <c:strCache>
                <c:ptCount val="1"/>
                <c:pt idx="0">
                  <c:v>Disposal</c:v>
                </c:pt>
              </c:strCache>
            </c:strRef>
          </c:tx>
          <c:spPr>
            <a:solidFill>
              <a:schemeClr val="accent2">
                <a:lumMod val="75000"/>
              </a:schemeClr>
            </a:solidFill>
          </c:spPr>
          <c:cat>
            <c:strRef>
              <c:f>Qld!$BG$70:$BG$78</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Qld!$BH$70:$BH$78</c:f>
              <c:numCache>
                <c:formatCode>#,##0</c:formatCode>
                <c:ptCount val="9"/>
                <c:pt idx="0">
                  <c:v>620.46061997297761</c:v>
                </c:pt>
                <c:pt idx="1">
                  <c:v>119.21132867872402</c:v>
                </c:pt>
                <c:pt idx="2">
                  <c:v>1313.3392419202617</c:v>
                </c:pt>
                <c:pt idx="3">
                  <c:v>452.53040344423556</c:v>
                </c:pt>
                <c:pt idx="4">
                  <c:v>361.81072308323752</c:v>
                </c:pt>
                <c:pt idx="5">
                  <c:v>96.324891399462658</c:v>
                </c:pt>
                <c:pt idx="6">
                  <c:v>61.793100615179327</c:v>
                </c:pt>
                <c:pt idx="7">
                  <c:v>553.5897718008215</c:v>
                </c:pt>
                <c:pt idx="8">
                  <c:v>4888.3860000000004</c:v>
                </c:pt>
              </c:numCache>
            </c:numRef>
          </c:val>
        </c:ser>
        <c:ser>
          <c:idx val="1"/>
          <c:order val="1"/>
          <c:tx>
            <c:strRef>
              <c:f>Qld!$BI$69</c:f>
              <c:strCache>
                <c:ptCount val="1"/>
                <c:pt idx="0">
                  <c:v>Recycling</c:v>
                </c:pt>
              </c:strCache>
            </c:strRef>
          </c:tx>
          <c:spPr>
            <a:solidFill>
              <a:srgbClr val="FFCC00"/>
            </a:solidFill>
          </c:spPr>
          <c:cat>
            <c:strRef>
              <c:f>Qld!$BG$70:$BG$78</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Qld!$BI$70:$BI$78</c:f>
              <c:numCache>
                <c:formatCode>#,##0</c:formatCode>
                <c:ptCount val="9"/>
                <c:pt idx="0">
                  <c:v>931.95854239901325</c:v>
                </c:pt>
                <c:pt idx="1">
                  <c:v>730.28014081611684</c:v>
                </c:pt>
                <c:pt idx="2">
                  <c:v>1102.1764718881691</c:v>
                </c:pt>
                <c:pt idx="3">
                  <c:v>570.60230691746324</c:v>
                </c:pt>
                <c:pt idx="4">
                  <c:v>29.566537000000004</c:v>
                </c:pt>
                <c:pt idx="5">
                  <c:v>87.784970294994338</c:v>
                </c:pt>
                <c:pt idx="6">
                  <c:v>42.000567684242981</c:v>
                </c:pt>
                <c:pt idx="7">
                  <c:v>79.293000000000006</c:v>
                </c:pt>
                <c:pt idx="8">
                  <c:v>837.822</c:v>
                </c:pt>
              </c:numCache>
            </c:numRef>
          </c:val>
        </c:ser>
        <c:ser>
          <c:idx val="2"/>
          <c:order val="2"/>
          <c:tx>
            <c:strRef>
              <c:f>Qld!$BJ$69</c:f>
              <c:strCache>
                <c:ptCount val="1"/>
                <c:pt idx="0">
                  <c:v>Energy recovery</c:v>
                </c:pt>
              </c:strCache>
            </c:strRef>
          </c:tx>
          <c:spPr>
            <a:solidFill>
              <a:schemeClr val="accent6">
                <a:lumMod val="75000"/>
              </a:schemeClr>
            </a:solidFill>
          </c:spPr>
          <c:cat>
            <c:strRef>
              <c:f>Qld!$BG$70:$BG$78</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Qld!$BJ$70:$BJ$78</c:f>
              <c:numCache>
                <c:formatCode>#,##0</c:formatCode>
                <c:ptCount val="9"/>
                <c:pt idx="0">
                  <c:v>0</c:v>
                </c:pt>
                <c:pt idx="1">
                  <c:v>0</c:v>
                </c:pt>
                <c:pt idx="2">
                  <c:v>309.46953970365399</c:v>
                </c:pt>
                <c:pt idx="3">
                  <c:v>31.455272880665738</c:v>
                </c:pt>
                <c:pt idx="4">
                  <c:v>0</c:v>
                </c:pt>
                <c:pt idx="5">
                  <c:v>0</c:v>
                </c:pt>
                <c:pt idx="6">
                  <c:v>4.3891065007801116</c:v>
                </c:pt>
                <c:pt idx="7">
                  <c:v>10.265000000000001</c:v>
                </c:pt>
                <c:pt idx="8">
                  <c:v>0</c:v>
                </c:pt>
              </c:numCache>
            </c:numRef>
          </c:val>
        </c:ser>
        <c:ser>
          <c:idx val="3"/>
          <c:order val="3"/>
          <c:tx>
            <c:strRef>
              <c:f>Qld!$BK$69</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245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506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42E-2"/>
                </c:manualLayout>
              </c:layout>
              <c:showVal val="1"/>
            </c:dLbl>
            <c:showVal val="1"/>
          </c:dLbls>
          <c:cat>
            <c:strRef>
              <c:f>Qld!$BG$70:$BG$78</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Qld!$BK$70:$BK$78</c:f>
              <c:numCache>
                <c:formatCode>0%</c:formatCode>
                <c:ptCount val="9"/>
                <c:pt idx="0">
                  <c:v>0.60032661602491688</c:v>
                </c:pt>
                <c:pt idx="1">
                  <c:v>0.85966742108709537</c:v>
                </c:pt>
                <c:pt idx="2">
                  <c:v>0.51803803700311024</c:v>
                </c:pt>
                <c:pt idx="3">
                  <c:v>0.57089364696446054</c:v>
                </c:pt>
                <c:pt idx="4">
                  <c:v>7.554485151669732E-2</c:v>
                </c:pt>
                <c:pt idx="5">
                  <c:v>0.47680754027548811</c:v>
                </c:pt>
                <c:pt idx="6">
                  <c:v>0.42880832249586825</c:v>
                </c:pt>
                <c:pt idx="7">
                  <c:v>0.13924949121604904</c:v>
                </c:pt>
                <c:pt idx="8">
                  <c:v>0.14631358134388411</c:v>
                </c:pt>
              </c:numCache>
            </c:numRef>
          </c:val>
        </c:ser>
        <c:dLbls/>
        <c:overlap val="100"/>
        <c:axId val="83855616"/>
        <c:axId val="83873792"/>
      </c:barChart>
      <c:catAx>
        <c:axId val="83855616"/>
        <c:scaling>
          <c:orientation val="minMax"/>
        </c:scaling>
        <c:axPos val="b"/>
        <c:majorTickMark val="none"/>
        <c:tickLblPos val="nextTo"/>
        <c:crossAx val="83873792"/>
        <c:crosses val="autoZero"/>
        <c:auto val="1"/>
        <c:lblAlgn val="ctr"/>
        <c:lblOffset val="100"/>
      </c:catAx>
      <c:valAx>
        <c:axId val="83873792"/>
        <c:scaling>
          <c:orientation val="minMax"/>
          <c:max val="6000"/>
        </c:scaling>
        <c:axPos val="l"/>
        <c:majorGridlines/>
        <c:title>
          <c:tx>
            <c:rich>
              <a:bodyPr rot="-5400000" vert="horz"/>
              <a:lstStyle/>
              <a:p>
                <a:pPr>
                  <a:defRPr/>
                </a:pPr>
                <a:r>
                  <a:rPr lang="en-US"/>
                  <a:t>Thousands of tonnes</a:t>
                </a:r>
              </a:p>
            </c:rich>
          </c:tx>
          <c:layout>
            <c:manualLayout>
              <c:xMode val="edge"/>
              <c:yMode val="edge"/>
              <c:x val="2.0093692833850315E-2"/>
              <c:y val="0.24316829714467544"/>
            </c:manualLayout>
          </c:layout>
        </c:title>
        <c:numFmt formatCode="#,##0" sourceLinked="0"/>
        <c:tickLblPos val="nextTo"/>
        <c:spPr>
          <a:ln>
            <a:noFill/>
          </a:ln>
        </c:spPr>
        <c:crossAx val="83855616"/>
        <c:crosses val="autoZero"/>
        <c:crossBetween val="between"/>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Qld!$BU$90</c:f>
              <c:strCache>
                <c:ptCount val="1"/>
                <c:pt idx="0">
                  <c:v>Disposal</c:v>
                </c:pt>
              </c:strCache>
            </c:strRef>
          </c:tx>
          <c:spPr>
            <a:solidFill>
              <a:srgbClr val="C0504D">
                <a:lumMod val="75000"/>
              </a:srgbClr>
            </a:solidFill>
          </c:spPr>
          <c:cat>
            <c:strRef>
              <c:f>Qld!$BV$89:$BY$89</c:f>
              <c:strCache>
                <c:ptCount val="4"/>
                <c:pt idx="0">
                  <c:v>08/09</c:v>
                </c:pt>
                <c:pt idx="1">
                  <c:v>09/10</c:v>
                </c:pt>
                <c:pt idx="2">
                  <c:v>10/11</c:v>
                </c:pt>
                <c:pt idx="3">
                  <c:v>11/12</c:v>
                </c:pt>
              </c:strCache>
            </c:strRef>
          </c:cat>
          <c:val>
            <c:numRef>
              <c:f>Qld!$BV$90:$BY$90</c:f>
              <c:numCache>
                <c:formatCode>#,##0.00</c:formatCode>
                <c:ptCount val="4"/>
                <c:pt idx="0">
                  <c:v>0.98507358145531265</c:v>
                </c:pt>
                <c:pt idx="1">
                  <c:v>0.94435056608011492</c:v>
                </c:pt>
                <c:pt idx="2">
                  <c:v>0.80345794974283147</c:v>
                </c:pt>
                <c:pt idx="3">
                  <c:v>0.88714972328971908</c:v>
                </c:pt>
              </c:numCache>
            </c:numRef>
          </c:val>
        </c:ser>
        <c:ser>
          <c:idx val="1"/>
          <c:order val="1"/>
          <c:tx>
            <c:strRef>
              <c:f>Qld!$BU$91</c:f>
              <c:strCache>
                <c:ptCount val="1"/>
                <c:pt idx="0">
                  <c:v>Recycling</c:v>
                </c:pt>
              </c:strCache>
            </c:strRef>
          </c:tx>
          <c:spPr>
            <a:solidFill>
              <a:srgbClr val="FFCC00"/>
            </a:solidFill>
          </c:spPr>
          <c:cat>
            <c:strRef>
              <c:f>Qld!$BV$89:$BY$89</c:f>
              <c:strCache>
                <c:ptCount val="4"/>
                <c:pt idx="0">
                  <c:v>08/09</c:v>
                </c:pt>
                <c:pt idx="1">
                  <c:v>09/10</c:v>
                </c:pt>
                <c:pt idx="2">
                  <c:v>10/11</c:v>
                </c:pt>
                <c:pt idx="3">
                  <c:v>11/12</c:v>
                </c:pt>
              </c:strCache>
            </c:strRef>
          </c:cat>
          <c:val>
            <c:numRef>
              <c:f>Qld!$BV$91:$BY$91</c:f>
              <c:numCache>
                <c:formatCode>#,##0.00</c:formatCode>
                <c:ptCount val="4"/>
                <c:pt idx="0">
                  <c:v>0.80765507047122997</c:v>
                </c:pt>
                <c:pt idx="1">
                  <c:v>0.69717547345525466</c:v>
                </c:pt>
                <c:pt idx="2">
                  <c:v>0.80224626302356206</c:v>
                </c:pt>
                <c:pt idx="3">
                  <c:v>0.64701276608155256</c:v>
                </c:pt>
              </c:numCache>
            </c:numRef>
          </c:val>
        </c:ser>
        <c:ser>
          <c:idx val="2"/>
          <c:order val="2"/>
          <c:tx>
            <c:strRef>
              <c:f>Qld!$BU$92</c:f>
              <c:strCache>
                <c:ptCount val="1"/>
                <c:pt idx="0">
                  <c:v>Energy recovery</c:v>
                </c:pt>
              </c:strCache>
            </c:strRef>
          </c:tx>
          <c:spPr>
            <a:solidFill>
              <a:schemeClr val="accent6">
                <a:lumMod val="75000"/>
              </a:schemeClr>
            </a:solidFill>
          </c:spPr>
          <c:cat>
            <c:strRef>
              <c:f>Qld!$BV$89:$BY$89</c:f>
              <c:strCache>
                <c:ptCount val="4"/>
                <c:pt idx="0">
                  <c:v>08/09</c:v>
                </c:pt>
                <c:pt idx="1">
                  <c:v>09/10</c:v>
                </c:pt>
                <c:pt idx="2">
                  <c:v>10/11</c:v>
                </c:pt>
                <c:pt idx="3">
                  <c:v>11/12</c:v>
                </c:pt>
              </c:strCache>
            </c:strRef>
          </c:cat>
          <c:val>
            <c:numRef>
              <c:f>Qld!$BV$92:$BY$92</c:f>
              <c:numCache>
                <c:formatCode>#,##0.000</c:formatCode>
                <c:ptCount val="4"/>
                <c:pt idx="0">
                  <c:v>7.5477017055207249E-2</c:v>
                </c:pt>
                <c:pt idx="1">
                  <c:v>7.8134645051366428E-2</c:v>
                </c:pt>
                <c:pt idx="2">
                  <c:v>7.7519015376476777E-2</c:v>
                </c:pt>
                <c:pt idx="3">
                  <c:v>7.5654441030088934E-2</c:v>
                </c:pt>
              </c:numCache>
            </c:numRef>
          </c:val>
        </c:ser>
        <c:dLbls/>
        <c:axId val="91196032"/>
        <c:axId val="91210112"/>
      </c:areaChart>
      <c:catAx>
        <c:axId val="91196032"/>
        <c:scaling>
          <c:orientation val="minMax"/>
        </c:scaling>
        <c:axPos val="b"/>
        <c:tickLblPos val="nextTo"/>
        <c:crossAx val="91210112"/>
        <c:crosses val="autoZero"/>
        <c:auto val="1"/>
        <c:lblAlgn val="ctr"/>
        <c:lblOffset val="100"/>
      </c:catAx>
      <c:valAx>
        <c:axId val="91210112"/>
        <c:scaling>
          <c:orientation val="minMax"/>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91196032"/>
        <c:crosses val="autoZero"/>
        <c:crossBetween val="midCat"/>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Qld!$BU$113</c:f>
              <c:strCache>
                <c:ptCount val="1"/>
                <c:pt idx="0">
                  <c:v>Disposal</c:v>
                </c:pt>
              </c:strCache>
            </c:strRef>
          </c:tx>
          <c:spPr>
            <a:solidFill>
              <a:srgbClr val="C0504D">
                <a:lumMod val="75000"/>
              </a:srgbClr>
            </a:solidFill>
          </c:spPr>
          <c:cat>
            <c:strRef>
              <c:f>Qld!$BV$112:$BY$112</c:f>
              <c:strCache>
                <c:ptCount val="4"/>
                <c:pt idx="0">
                  <c:v>08/09</c:v>
                </c:pt>
                <c:pt idx="1">
                  <c:v>09/10</c:v>
                </c:pt>
                <c:pt idx="2">
                  <c:v>10/11</c:v>
                </c:pt>
                <c:pt idx="3">
                  <c:v>11/12</c:v>
                </c:pt>
              </c:strCache>
            </c:strRef>
          </c:cat>
          <c:val>
            <c:numRef>
              <c:f>Qld!$BV$113:$BY$113</c:f>
              <c:numCache>
                <c:formatCode>#,##0</c:formatCode>
                <c:ptCount val="4"/>
                <c:pt idx="0">
                  <c:v>4266.7255465599583</c:v>
                </c:pt>
                <c:pt idx="1">
                  <c:v>4158.7888643757833</c:v>
                </c:pt>
                <c:pt idx="2">
                  <c:v>3579.0600809148996</c:v>
                </c:pt>
                <c:pt idx="3">
                  <c:v>4015.2372079475304</c:v>
                </c:pt>
              </c:numCache>
            </c:numRef>
          </c:val>
        </c:ser>
        <c:ser>
          <c:idx val="1"/>
          <c:order val="1"/>
          <c:tx>
            <c:strRef>
              <c:f>Qld!$BU$114</c:f>
              <c:strCache>
                <c:ptCount val="1"/>
                <c:pt idx="0">
                  <c:v>Recycling</c:v>
                </c:pt>
              </c:strCache>
            </c:strRef>
          </c:tx>
          <c:spPr>
            <a:solidFill>
              <a:srgbClr val="FFCC00"/>
            </a:solidFill>
          </c:spPr>
          <c:cat>
            <c:strRef>
              <c:f>Qld!$BV$112:$BY$112</c:f>
              <c:strCache>
                <c:ptCount val="4"/>
                <c:pt idx="0">
                  <c:v>08/09</c:v>
                </c:pt>
                <c:pt idx="1">
                  <c:v>09/10</c:v>
                </c:pt>
                <c:pt idx="2">
                  <c:v>10/11</c:v>
                </c:pt>
                <c:pt idx="3">
                  <c:v>11/12</c:v>
                </c:pt>
              </c:strCache>
            </c:strRef>
          </c:cat>
          <c:val>
            <c:numRef>
              <c:f>Qld!$BV$114:$BY$114</c:f>
              <c:numCache>
                <c:formatCode>#,##0</c:formatCode>
                <c:ptCount val="4"/>
                <c:pt idx="0">
                  <c:v>3498.259</c:v>
                </c:pt>
                <c:pt idx="1">
                  <c:v>3070.2640519999995</c:v>
                </c:pt>
                <c:pt idx="2">
                  <c:v>3573.6625370000002</c:v>
                </c:pt>
                <c:pt idx="3">
                  <c:v>2928.3780000000002</c:v>
                </c:pt>
              </c:numCache>
            </c:numRef>
          </c:val>
        </c:ser>
        <c:ser>
          <c:idx val="2"/>
          <c:order val="2"/>
          <c:tx>
            <c:strRef>
              <c:f>Qld!$BU$115</c:f>
              <c:strCache>
                <c:ptCount val="1"/>
                <c:pt idx="0">
                  <c:v>Energy recovery</c:v>
                </c:pt>
              </c:strCache>
            </c:strRef>
          </c:tx>
          <c:spPr>
            <a:solidFill>
              <a:schemeClr val="accent6">
                <a:lumMod val="75000"/>
              </a:schemeClr>
            </a:solidFill>
          </c:spPr>
          <c:cat>
            <c:strRef>
              <c:f>Qld!$BV$112:$BY$112</c:f>
              <c:strCache>
                <c:ptCount val="4"/>
                <c:pt idx="0">
                  <c:v>08/09</c:v>
                </c:pt>
                <c:pt idx="1">
                  <c:v>09/10</c:v>
                </c:pt>
                <c:pt idx="2">
                  <c:v>10/11</c:v>
                </c:pt>
                <c:pt idx="3">
                  <c:v>11/12</c:v>
                </c:pt>
              </c:strCache>
            </c:strRef>
          </c:cat>
          <c:val>
            <c:numRef>
              <c:f>Qld!$BV$115:$BY$115</c:f>
              <c:numCache>
                <c:formatCode>#,##0</c:formatCode>
                <c:ptCount val="4"/>
                <c:pt idx="0">
                  <c:v>334.23245344004096</c:v>
                </c:pt>
                <c:pt idx="1">
                  <c:v>354.72413562421684</c:v>
                </c:pt>
                <c:pt idx="2">
                  <c:v>355.57891908509981</c:v>
                </c:pt>
                <c:pt idx="3">
                  <c:v>356.97279205246969</c:v>
                </c:pt>
              </c:numCache>
            </c:numRef>
          </c:val>
        </c:ser>
        <c:dLbls/>
        <c:axId val="91232896"/>
        <c:axId val="91259264"/>
      </c:areaChart>
      <c:catAx>
        <c:axId val="91232896"/>
        <c:scaling>
          <c:orientation val="minMax"/>
        </c:scaling>
        <c:axPos val="b"/>
        <c:tickLblPos val="nextTo"/>
        <c:crossAx val="91259264"/>
        <c:crosses val="autoZero"/>
        <c:auto val="1"/>
        <c:lblAlgn val="ctr"/>
        <c:lblOffset val="100"/>
      </c:catAx>
      <c:valAx>
        <c:axId val="91259264"/>
        <c:scaling>
          <c:orientation val="minMax"/>
        </c:scaling>
        <c:axPos val="l"/>
        <c:majorGridlines/>
        <c:title>
          <c:tx>
            <c:rich>
              <a:bodyPr rot="-5400000" vert="horz"/>
              <a:lstStyle/>
              <a:p>
                <a:pPr>
                  <a:defRPr/>
                </a:pPr>
                <a:r>
                  <a:rPr lang="en-US"/>
                  <a:t>Millions of tonnes</a:t>
                </a:r>
              </a:p>
            </c:rich>
          </c:tx>
          <c:layout>
            <c:manualLayout>
              <c:xMode val="edge"/>
              <c:yMode val="edge"/>
              <c:x val="2.1476513093627012E-2"/>
              <c:y val="0.32515731511901391"/>
            </c:manualLayout>
          </c:layout>
        </c:title>
        <c:numFmt formatCode="0," sourceLinked="0"/>
        <c:tickLblPos val="nextTo"/>
        <c:crossAx val="91232896"/>
        <c:crosses val="autoZero"/>
        <c:crossBetween val="midCat"/>
      </c:valAx>
    </c:plotArea>
    <c:legend>
      <c:legendPos val="t"/>
    </c:legend>
    <c:plotVisOnly val="1"/>
    <c:dispBlanksAs val="zero"/>
  </c:chart>
  <c:spPr>
    <a:ln>
      <a:noFill/>
    </a:ln>
  </c:spPr>
  <c:printSettings>
    <c:headerFooter/>
    <c:pageMargins b="0.750000000000006" l="0.70000000000000062" r="0.70000000000000062" t="0.75000000000000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01"/>
        </c:manualLayout>
      </c:layout>
      <c:barChart>
        <c:barDir val="col"/>
        <c:grouping val="stacked"/>
        <c:ser>
          <c:idx val="0"/>
          <c:order val="0"/>
          <c:tx>
            <c:strRef>
              <c:f>ACT!$BH$22</c:f>
              <c:strCache>
                <c:ptCount val="1"/>
                <c:pt idx="0">
                  <c:v>Disposal</c:v>
                </c:pt>
              </c:strCache>
            </c:strRef>
          </c:tx>
          <c:spPr>
            <a:solidFill>
              <a:schemeClr val="accent2">
                <a:lumMod val="75000"/>
              </a:schemeClr>
            </a:solidFill>
          </c:spPr>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ACT!$BH$23:$BH$31</c:f>
              <c:numCache>
                <c:formatCode>#,##0</c:formatCode>
                <c:ptCount val="9"/>
                <c:pt idx="0">
                  <c:v>20.892273653914785</c:v>
                </c:pt>
                <c:pt idx="1">
                  <c:v>8.3757910018799304</c:v>
                </c:pt>
                <c:pt idx="2">
                  <c:v>73.797147717449846</c:v>
                </c:pt>
                <c:pt idx="3">
                  <c:v>34.049915507305826</c:v>
                </c:pt>
                <c:pt idx="4">
                  <c:v>28.557372066136018</c:v>
                </c:pt>
                <c:pt idx="5">
                  <c:v>7.3865737472255315</c:v>
                </c:pt>
                <c:pt idx="6">
                  <c:v>24.722904739729731</c:v>
                </c:pt>
                <c:pt idx="7">
                  <c:v>0.72306024397560231</c:v>
                </c:pt>
                <c:pt idx="8">
                  <c:v>0</c:v>
                </c:pt>
              </c:numCache>
            </c:numRef>
          </c:val>
        </c:ser>
        <c:ser>
          <c:idx val="1"/>
          <c:order val="1"/>
          <c:tx>
            <c:strRef>
              <c:f>ACT!$BI$22</c:f>
              <c:strCache>
                <c:ptCount val="1"/>
                <c:pt idx="0">
                  <c:v>Recycling</c:v>
                </c:pt>
              </c:strCache>
            </c:strRef>
          </c:tx>
          <c:spPr>
            <a:solidFill>
              <a:srgbClr val="FFCC00"/>
            </a:solidFill>
          </c:spPr>
          <c:cat>
            <c:strRef>
              <c:f>ACT!$BG$23:$BG$31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ACT!$BI$23:$BI$31</c:f>
              <c:numCache>
                <c:formatCode>#,##0</c:formatCode>
                <c:ptCount val="9"/>
                <c:pt idx="0">
                  <c:v>276.13050773722631</c:v>
                </c:pt>
                <c:pt idx="1">
                  <c:v>4.9431062364963507</c:v>
                </c:pt>
                <c:pt idx="2">
                  <c:v>327.17314519137472</c:v>
                </c:pt>
                <c:pt idx="3">
                  <c:v>51.019616350364963</c:v>
                </c:pt>
                <c:pt idx="4">
                  <c:v>2.0739999999999998</c:v>
                </c:pt>
                <c:pt idx="5">
                  <c:v>14.773621167883212</c:v>
                </c:pt>
                <c:pt idx="6">
                  <c:v>1.2277563503649636</c:v>
                </c:pt>
                <c:pt idx="7">
                  <c:v>0</c:v>
                </c:pt>
                <c:pt idx="8">
                  <c:v>0</c:v>
                </c:pt>
              </c:numCache>
            </c:numRef>
          </c:val>
        </c:ser>
        <c:ser>
          <c:idx val="2"/>
          <c:order val="2"/>
          <c:tx>
            <c:strRef>
              <c:f>ACT!$BJ$22</c:f>
              <c:strCache>
                <c:ptCount val="1"/>
                <c:pt idx="0">
                  <c:v>Energy recovery</c:v>
                </c:pt>
              </c:strCache>
            </c:strRef>
          </c:tx>
          <c:spPr>
            <a:solidFill>
              <a:schemeClr val="accent6">
                <a:lumMod val="75000"/>
              </a:schemeClr>
            </a:solidFill>
          </c:spPr>
          <c:cat>
            <c:strRef>
              <c:f>ACT!$BG$23:$BG$31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ACT!$BJ$23:$BJ$31</c:f>
              <c:numCache>
                <c:formatCode>#,##0</c:formatCode>
                <c:ptCount val="9"/>
                <c:pt idx="0">
                  <c:v>0</c:v>
                </c:pt>
                <c:pt idx="1">
                  <c:v>0</c:v>
                </c:pt>
                <c:pt idx="2">
                  <c:v>19.880605909833569</c:v>
                </c:pt>
                <c:pt idx="3">
                  <c:v>6.5345082422702285</c:v>
                </c:pt>
                <c:pt idx="4">
                  <c:v>0</c:v>
                </c:pt>
                <c:pt idx="5">
                  <c:v>0</c:v>
                </c:pt>
                <c:pt idx="6">
                  <c:v>4.8604284650190364</c:v>
                </c:pt>
                <c:pt idx="7">
                  <c:v>0</c:v>
                </c:pt>
                <c:pt idx="8">
                  <c:v>0</c:v>
                </c:pt>
              </c:numCache>
            </c:numRef>
          </c:val>
        </c:ser>
        <c:ser>
          <c:idx val="3"/>
          <c:order val="3"/>
          <c:tx>
            <c:strRef>
              <c:f>ACT!$BK$22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442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629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49E-2"/>
                </c:manualLayout>
              </c:layout>
              <c:showVal val="1"/>
            </c:dLbl>
            <c:showVal val="1"/>
          </c:dLbls>
          <c:cat>
            <c:strRef>
              <c:f>ACT!$BG$23:$BG$31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ACT!$BK$23:$BK$31</c:f>
              <c:numCache>
                <c:formatCode>0%</c:formatCode>
                <c:ptCount val="9"/>
                <c:pt idx="0">
                  <c:v>0.92966103961432389</c:v>
                </c:pt>
                <c:pt idx="1">
                  <c:v>0.37113479802618926</c:v>
                </c:pt>
                <c:pt idx="2">
                  <c:v>0.82464776022909592</c:v>
                </c:pt>
                <c:pt idx="3">
                  <c:v>0.6282924260746906</c:v>
                </c:pt>
                <c:pt idx="4">
                  <c:v>6.7708361072499085E-2</c:v>
                </c:pt>
                <c:pt idx="5">
                  <c:v>0.66667379165562346</c:v>
                </c:pt>
                <c:pt idx="6">
                  <c:v>0.19759719319544614</c:v>
                </c:pt>
                <c:pt idx="7">
                  <c:v>0</c:v>
                </c:pt>
                <c:pt idx="8">
                  <c:v>0</c:v>
                </c:pt>
              </c:numCache>
            </c:numRef>
          </c:val>
        </c:ser>
        <c:dLbls/>
        <c:overlap val="100"/>
        <c:axId val="116353664"/>
        <c:axId val="52654464"/>
      </c:barChart>
      <c:catAx>
        <c:axId val="116353664"/>
        <c:scaling>
          <c:orientation val="minMax"/>
        </c:scaling>
        <c:axPos val="b"/>
        <c:majorTickMark val="none"/>
        <c:tickLblPos val="nextTo"/>
        <c:crossAx val="52654464"/>
        <c:crosses val="autoZero"/>
        <c:auto val="1"/>
        <c:lblAlgn val="ctr"/>
        <c:lblOffset val="100"/>
      </c:catAx>
      <c:valAx>
        <c:axId val="52654464"/>
        <c:scaling>
          <c:orientation val="minMax"/>
          <c:min val="0"/>
        </c:scaling>
        <c:axPos val="l"/>
        <c:majorGridlines/>
        <c:title>
          <c:tx>
            <c:rich>
              <a:bodyPr rot="-5400000" vert="horz"/>
              <a:lstStyle/>
              <a:p>
                <a:pPr>
                  <a:defRPr/>
                </a:pPr>
                <a:r>
                  <a:rPr lang="en-US"/>
                  <a:t>Thousands of tonnes</a:t>
                </a:r>
              </a:p>
            </c:rich>
          </c:tx>
          <c:layout>
            <c:manualLayout>
              <c:xMode val="edge"/>
              <c:yMode val="edge"/>
              <c:x val="2.6154289363295433E-2"/>
              <c:y val="0.31387539680482945"/>
            </c:manualLayout>
          </c:layout>
        </c:title>
        <c:numFmt formatCode="#,##0" sourceLinked="1"/>
        <c:tickLblPos val="nextTo"/>
        <c:spPr>
          <a:ln>
            <a:noFill/>
          </a:ln>
        </c:spPr>
        <c:crossAx val="116353664"/>
        <c:crosses val="autoZero"/>
        <c:crossBetween val="between"/>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Qld!$BV$134</c:f>
              <c:strCache>
                <c:ptCount val="1"/>
                <c:pt idx="0">
                  <c:v>Disposal</c:v>
                </c:pt>
              </c:strCache>
            </c:strRef>
          </c:tx>
          <c:spPr>
            <a:solidFill>
              <a:srgbClr val="C0504D">
                <a:lumMod val="75000"/>
              </a:srgbClr>
            </a:solidFill>
          </c:spPr>
          <c:cat>
            <c:strRef>
              <c:f>Qld!$BU$135:$BU$138</c:f>
              <c:strCache>
                <c:ptCount val="4"/>
                <c:pt idx="0">
                  <c:v>08/09</c:v>
                </c:pt>
                <c:pt idx="1">
                  <c:v>09/10</c:v>
                </c:pt>
                <c:pt idx="2">
                  <c:v>10/11</c:v>
                </c:pt>
                <c:pt idx="3">
                  <c:v>11/12</c:v>
                </c:pt>
              </c:strCache>
            </c:strRef>
          </c:cat>
          <c:val>
            <c:numRef>
              <c:f>Qld!$BV$135:$BV$138</c:f>
              <c:numCache>
                <c:formatCode>#,##0</c:formatCode>
                <c:ptCount val="4"/>
                <c:pt idx="0">
                  <c:v>1542.8727350600705</c:v>
                </c:pt>
                <c:pt idx="1">
                  <c:v>1426.9760516511492</c:v>
                </c:pt>
                <c:pt idx="2">
                  <c:v>1313.3392419202617</c:v>
                </c:pt>
                <c:pt idx="3">
                  <c:v>1567.7139634978898</c:v>
                </c:pt>
              </c:numCache>
            </c:numRef>
          </c:val>
        </c:ser>
        <c:ser>
          <c:idx val="1"/>
          <c:order val="1"/>
          <c:tx>
            <c:strRef>
              <c:f>Qld!$BW$134</c:f>
              <c:strCache>
                <c:ptCount val="1"/>
                <c:pt idx="0">
                  <c:v>Recycling</c:v>
                </c:pt>
              </c:strCache>
            </c:strRef>
          </c:tx>
          <c:spPr>
            <a:solidFill>
              <a:srgbClr val="FFCC00"/>
            </a:solidFill>
          </c:spPr>
          <c:cat>
            <c:strRef>
              <c:f>Qld!$BU$135:$BU$138</c:f>
              <c:strCache>
                <c:ptCount val="4"/>
                <c:pt idx="0">
                  <c:v>08/09</c:v>
                </c:pt>
                <c:pt idx="1">
                  <c:v>09/10</c:v>
                </c:pt>
                <c:pt idx="2">
                  <c:v>10/11</c:v>
                </c:pt>
                <c:pt idx="3">
                  <c:v>11/12</c:v>
                </c:pt>
              </c:strCache>
            </c:strRef>
          </c:cat>
          <c:val>
            <c:numRef>
              <c:f>Qld!$BW$135:$BW$138</c:f>
              <c:numCache>
                <c:formatCode>#,##0</c:formatCode>
                <c:ptCount val="4"/>
                <c:pt idx="0">
                  <c:v>1092.9907042861546</c:v>
                </c:pt>
                <c:pt idx="1">
                  <c:v>916.79804183369288</c:v>
                </c:pt>
                <c:pt idx="2">
                  <c:v>1102.1764718881691</c:v>
                </c:pt>
                <c:pt idx="3">
                  <c:v>890.19202073332644</c:v>
                </c:pt>
              </c:numCache>
            </c:numRef>
          </c:val>
        </c:ser>
        <c:ser>
          <c:idx val="2"/>
          <c:order val="2"/>
          <c:tx>
            <c:strRef>
              <c:f>Qld!$BX$134</c:f>
              <c:strCache>
                <c:ptCount val="1"/>
                <c:pt idx="0">
                  <c:v>Energy recovery</c:v>
                </c:pt>
              </c:strCache>
            </c:strRef>
          </c:tx>
          <c:spPr>
            <a:solidFill>
              <a:schemeClr val="accent6">
                <a:lumMod val="75000"/>
              </a:schemeClr>
            </a:solidFill>
          </c:spPr>
          <c:cat>
            <c:strRef>
              <c:f>Qld!$BU$135:$BU$138</c:f>
              <c:strCache>
                <c:ptCount val="4"/>
                <c:pt idx="0">
                  <c:v>08/09</c:v>
                </c:pt>
                <c:pt idx="1">
                  <c:v>09/10</c:v>
                </c:pt>
                <c:pt idx="2">
                  <c:v>10/11</c:v>
                </c:pt>
                <c:pt idx="3">
                  <c:v>11/12</c:v>
                </c:pt>
              </c:strCache>
            </c:strRef>
          </c:cat>
          <c:val>
            <c:numRef>
              <c:f>Qld!$BX$135:$BX$138</c:f>
              <c:numCache>
                <c:formatCode>#,##0</c:formatCode>
                <c:ptCount val="4"/>
                <c:pt idx="0">
                  <c:v>293.69883272456815</c:v>
                </c:pt>
                <c:pt idx="1">
                  <c:v>307.29869790858089</c:v>
                </c:pt>
                <c:pt idx="2">
                  <c:v>309.46953970365399</c:v>
                </c:pt>
                <c:pt idx="3">
                  <c:v>304.25910396035897</c:v>
                </c:pt>
              </c:numCache>
            </c:numRef>
          </c:val>
        </c:ser>
        <c:dLbls/>
        <c:axId val="91290240"/>
        <c:axId val="91296128"/>
      </c:areaChart>
      <c:catAx>
        <c:axId val="91290240"/>
        <c:scaling>
          <c:orientation val="minMax"/>
        </c:scaling>
        <c:axPos val="b"/>
        <c:tickLblPos val="nextTo"/>
        <c:crossAx val="91296128"/>
        <c:crosses val="autoZero"/>
        <c:auto val="1"/>
        <c:lblAlgn val="ctr"/>
        <c:lblOffset val="100"/>
      </c:catAx>
      <c:valAx>
        <c:axId val="91296128"/>
        <c:scaling>
          <c:orientation val="minMax"/>
          <c:max val="3000"/>
        </c:scaling>
        <c:axPos val="l"/>
        <c:majorGridlines/>
        <c:title>
          <c:tx>
            <c:rich>
              <a:bodyPr rot="-5400000" vert="horz"/>
              <a:lstStyle/>
              <a:p>
                <a:pPr>
                  <a:defRPr/>
                </a:pPr>
                <a:r>
                  <a:rPr lang="en-US"/>
                  <a:t>Thousands of tonnes</a:t>
                </a:r>
              </a:p>
            </c:rich>
          </c:tx>
          <c:layout>
            <c:manualLayout>
              <c:xMode val="edge"/>
              <c:yMode val="edge"/>
              <c:x val="1.9444444444444445E-2"/>
              <c:y val="0.30540422101846376"/>
            </c:manualLayout>
          </c:layout>
        </c:title>
        <c:numFmt formatCode="#,##0" sourceLinked="0"/>
        <c:tickLblPos val="nextTo"/>
        <c:crossAx val="91290240"/>
        <c:crosses val="autoZero"/>
        <c:crossBetween val="midCat"/>
      </c:valAx>
    </c:plotArea>
    <c:legend>
      <c:legendPos val="t"/>
    </c:legend>
    <c:plotVisOnly val="1"/>
    <c:dispBlanksAs val="zero"/>
  </c:chart>
  <c:spPr>
    <a:ln>
      <a:noFill/>
    </a:ln>
  </c:spPr>
  <c:printSettings>
    <c:headerFooter/>
    <c:pageMargins b="0.75000000000000644" l="0.70000000000000062" r="0.70000000000000062" t="0.75000000000000644"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869250582134092"/>
          <c:y val="0.16317884983295219"/>
          <c:w val="0.78075197616629877"/>
          <c:h val="0.72063954730382185"/>
        </c:manualLayout>
      </c:layout>
      <c:barChart>
        <c:barDir val="col"/>
        <c:grouping val="stacked"/>
        <c:ser>
          <c:idx val="0"/>
          <c:order val="0"/>
          <c:tx>
            <c:strRef>
              <c:f>SA!$BG$10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(SA!$BH$7,SA!$BM$7)</c:f>
              <c:strCache>
                <c:ptCount val="2"/>
                <c:pt idx="0">
                  <c:v>2010/11 excl. fly ash</c:v>
                </c:pt>
                <c:pt idx="1">
                  <c:v>2010/11 incl. fly ash</c:v>
                </c:pt>
              </c:strCache>
            </c:strRef>
          </c:cat>
          <c:val>
            <c:numRef>
              <c:f>(SA!$BK$10,SA!$BM$10)</c:f>
              <c:numCache>
                <c:formatCode>#,##0</c:formatCode>
                <c:ptCount val="2"/>
                <c:pt idx="0">
                  <c:v>882.73499038925763</c:v>
                </c:pt>
                <c:pt idx="1">
                  <c:v>882.73499038925763</c:v>
                </c:pt>
              </c:numCache>
            </c:numRef>
          </c:val>
        </c:ser>
        <c:ser>
          <c:idx val="1"/>
          <c:order val="1"/>
          <c:tx>
            <c:strRef>
              <c:f>SA!$BG$11</c:f>
              <c:strCache>
                <c:ptCount val="1"/>
                <c:pt idx="0">
                  <c:v>Recycling</c:v>
                </c:pt>
              </c:strCache>
            </c:strRef>
          </c:tx>
          <c:spPr>
            <a:solidFill>
              <a:srgbClr val="FFCC00"/>
            </a:solidFill>
          </c:spPr>
          <c:dLbls>
            <c:showVal val="1"/>
          </c:dLbls>
          <c:cat>
            <c:strRef>
              <c:f>(SA!$BH$7,SA!$BM$7)</c:f>
              <c:strCache>
                <c:ptCount val="2"/>
                <c:pt idx="0">
                  <c:v>2010/11 excl. fly ash</c:v>
                </c:pt>
                <c:pt idx="1">
                  <c:v>2010/11 incl. fly ash</c:v>
                </c:pt>
              </c:strCache>
            </c:strRef>
          </c:cat>
          <c:val>
            <c:numRef>
              <c:f>(SA!$BK$11,SA!$BM$11)</c:f>
              <c:numCache>
                <c:formatCode>#,##0</c:formatCode>
                <c:ptCount val="2"/>
                <c:pt idx="0">
                  <c:v>2846.9</c:v>
                </c:pt>
                <c:pt idx="1">
                  <c:v>3046.9</c:v>
                </c:pt>
              </c:numCache>
            </c:numRef>
          </c:val>
        </c:ser>
        <c:ser>
          <c:idx val="2"/>
          <c:order val="2"/>
          <c:tx>
            <c:strRef>
              <c:f>SA!$BG$12</c:f>
              <c:strCache>
                <c:ptCount val="1"/>
                <c:pt idx="0">
                  <c:v>Energy recovery</c:v>
                </c:pt>
              </c:strCache>
            </c:strRef>
          </c:tx>
          <c:spPr>
            <a:solidFill>
              <a:schemeClr val="accent6">
                <a:lumMod val="75000"/>
              </a:schemeClr>
            </a:solidFill>
          </c:spPr>
          <c:dLbls>
            <c:dLbl>
              <c:idx val="0"/>
              <c:layout>
                <c:manualLayout>
                  <c:x val="-2.1371375521569783E-7"/>
                  <c:y val="9.2753640123910096E-3"/>
                </c:manualLayout>
              </c:layout>
              <c:showVal val="1"/>
            </c:dLbl>
            <c:dLbl>
              <c:idx val="1"/>
              <c:layout>
                <c:manualLayout>
                  <c:x val="-2.1371375521569783E-7"/>
                  <c:y val="9.2753640123910547E-3"/>
                </c:manualLayout>
              </c:layout>
              <c:showVal val="1"/>
            </c:dLbl>
            <c:showVal val="1"/>
          </c:dLbls>
          <c:cat>
            <c:strRef>
              <c:f>(SA!$BH$7,SA!$BM$7)</c:f>
              <c:strCache>
                <c:ptCount val="2"/>
                <c:pt idx="0">
                  <c:v>2010/11 excl. fly ash</c:v>
                </c:pt>
                <c:pt idx="1">
                  <c:v>2010/11 incl. fly ash</c:v>
                </c:pt>
              </c:strCache>
            </c:strRef>
          </c:cat>
          <c:val>
            <c:numRef>
              <c:f>(SA!$BK$12,SA!$BM$12)</c:f>
              <c:numCache>
                <c:formatCode>#,##0</c:formatCode>
                <c:ptCount val="2"/>
                <c:pt idx="0">
                  <c:v>136.20985179473655</c:v>
                </c:pt>
                <c:pt idx="1">
                  <c:v>136.20985179473655</c:v>
                </c:pt>
              </c:numCache>
            </c:numRef>
          </c:val>
        </c:ser>
        <c:ser>
          <c:idx val="3"/>
          <c:order val="3"/>
          <c:tx>
            <c:strRef>
              <c:f>SA!$BG$13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(SA!$BH$7,SA!$BM$7)</c:f>
              <c:strCache>
                <c:ptCount val="2"/>
                <c:pt idx="0">
                  <c:v>2010/11 excl. fly ash</c:v>
                </c:pt>
                <c:pt idx="1">
                  <c:v>2010/11 incl. fly ash</c:v>
                </c:pt>
              </c:strCache>
            </c:strRef>
          </c:cat>
          <c:val>
            <c:numRef>
              <c:f>(SA!$BK$13,SA!$BM$13)</c:f>
              <c:numCache>
                <c:formatCode>0%</c:formatCode>
                <c:ptCount val="2"/>
                <c:pt idx="0">
                  <c:v>0.77165793599451349</c:v>
                </c:pt>
                <c:pt idx="1">
                  <c:v>0.78289014346275665</c:v>
                </c:pt>
              </c:numCache>
            </c:numRef>
          </c:val>
        </c:ser>
        <c:dLbls/>
        <c:overlap val="100"/>
        <c:axId val="99104256"/>
        <c:axId val="99105792"/>
      </c:barChart>
      <c:catAx>
        <c:axId val="99104256"/>
        <c:scaling>
          <c:orientation val="minMax"/>
        </c:scaling>
        <c:axPos val="b"/>
        <c:majorTickMark val="none"/>
        <c:tickLblPos val="nextTo"/>
        <c:crossAx val="99105792"/>
        <c:crosses val="autoZero"/>
        <c:auto val="1"/>
        <c:lblAlgn val="ctr"/>
        <c:lblOffset val="100"/>
      </c:catAx>
      <c:valAx>
        <c:axId val="99105792"/>
        <c:scaling>
          <c:orientation val="minMax"/>
        </c:scaling>
        <c:axPos val="l"/>
        <c:majorGridlines/>
        <c:title>
          <c:tx>
            <c:rich>
              <a:bodyPr rot="-5400000" vert="horz"/>
              <a:lstStyle/>
              <a:p>
                <a:pPr>
                  <a:defRPr/>
                </a:pPr>
                <a:r>
                  <a:rPr lang="en-US"/>
                  <a:t>Thousands of tonnes</a:t>
                </a:r>
              </a:p>
            </c:rich>
          </c:tx>
          <c:layout>
            <c:manualLayout>
              <c:xMode val="edge"/>
              <c:yMode val="edge"/>
              <c:x val="2.3249919429915066E-2"/>
              <c:y val="0.25832765186856632"/>
            </c:manualLayout>
          </c:layout>
        </c:title>
        <c:numFmt formatCode="#,##0" sourceLinked="0"/>
        <c:tickLblPos val="nextTo"/>
        <c:spPr>
          <a:ln>
            <a:noFill/>
          </a:ln>
        </c:spPr>
        <c:crossAx val="99104256"/>
        <c:crosses val="autoZero"/>
        <c:crossBetween val="between"/>
        <c:majorUnit val="1000"/>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2"/>
          <c:y val="0.16317884983295219"/>
          <c:w val="0.78381714785651757"/>
          <c:h val="0.72063954730382218"/>
        </c:manualLayout>
      </c:layout>
      <c:barChart>
        <c:barDir val="col"/>
        <c:grouping val="stacked"/>
        <c:ser>
          <c:idx val="0"/>
          <c:order val="0"/>
          <c:tx>
            <c:strRef>
              <c:f>SA!$BG$10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SA!$BH$9:$BJ$9</c:f>
              <c:strCache>
                <c:ptCount val="3"/>
                <c:pt idx="0">
                  <c:v>MSW</c:v>
                </c:pt>
                <c:pt idx="1">
                  <c:v>C&amp;I</c:v>
                </c:pt>
                <c:pt idx="2">
                  <c:v>C&amp;D</c:v>
                </c:pt>
              </c:strCache>
            </c:strRef>
          </c:cat>
          <c:val>
            <c:numRef>
              <c:f>SA!$BH$10:$BJ$10</c:f>
              <c:numCache>
                <c:formatCode>#,##0</c:formatCode>
                <c:ptCount val="3"/>
                <c:pt idx="0">
                  <c:v>306.98064209297598</c:v>
                </c:pt>
                <c:pt idx="1">
                  <c:v>163.923528035549</c:v>
                </c:pt>
                <c:pt idx="2">
                  <c:v>411.83082026073254</c:v>
                </c:pt>
              </c:numCache>
            </c:numRef>
          </c:val>
        </c:ser>
        <c:ser>
          <c:idx val="1"/>
          <c:order val="1"/>
          <c:tx>
            <c:strRef>
              <c:f>SA!$BG$11</c:f>
              <c:strCache>
                <c:ptCount val="1"/>
                <c:pt idx="0">
                  <c:v>Recycling</c:v>
                </c:pt>
              </c:strCache>
            </c:strRef>
          </c:tx>
          <c:spPr>
            <a:solidFill>
              <a:srgbClr val="FFCC00"/>
            </a:solidFill>
          </c:spPr>
          <c:dLbls>
            <c:showVal val="1"/>
          </c:dLbls>
          <c:cat>
            <c:strRef>
              <c:f>SA!$BH$9:$BJ$9</c:f>
              <c:strCache>
                <c:ptCount val="3"/>
                <c:pt idx="0">
                  <c:v>MSW</c:v>
                </c:pt>
                <c:pt idx="1">
                  <c:v>C&amp;I</c:v>
                </c:pt>
                <c:pt idx="2">
                  <c:v>C&amp;D</c:v>
                </c:pt>
              </c:strCache>
            </c:strRef>
          </c:cat>
          <c:val>
            <c:numRef>
              <c:f>SA!$BH$11:$BJ$11</c:f>
              <c:numCache>
                <c:formatCode>#,##0</c:formatCode>
                <c:ptCount val="3"/>
                <c:pt idx="0">
                  <c:v>437.98461538461544</c:v>
                </c:pt>
                <c:pt idx="1">
                  <c:v>1194.5034965034965</c:v>
                </c:pt>
                <c:pt idx="2">
                  <c:v>1214.4118881118879</c:v>
                </c:pt>
              </c:numCache>
            </c:numRef>
          </c:val>
        </c:ser>
        <c:ser>
          <c:idx val="2"/>
          <c:order val="2"/>
          <c:tx>
            <c:strRef>
              <c:f>SA!$BG$12</c:f>
              <c:strCache>
                <c:ptCount val="1"/>
                <c:pt idx="0">
                  <c:v>Energy recovery</c:v>
                </c:pt>
              </c:strCache>
            </c:strRef>
          </c:tx>
          <c:spPr>
            <a:solidFill>
              <a:schemeClr val="accent6">
                <a:lumMod val="75000"/>
              </a:schemeClr>
            </a:solidFill>
          </c:spPr>
          <c:dLbls>
            <c:showVal val="1"/>
          </c:dLbls>
          <c:cat>
            <c:strRef>
              <c:f>SA!$BH$9:$BJ$9</c:f>
              <c:strCache>
                <c:ptCount val="3"/>
                <c:pt idx="0">
                  <c:v>MSW</c:v>
                </c:pt>
                <c:pt idx="1">
                  <c:v>C&amp;I</c:v>
                </c:pt>
                <c:pt idx="2">
                  <c:v>C&amp;D</c:v>
                </c:pt>
              </c:strCache>
            </c:strRef>
          </c:cat>
          <c:val>
            <c:numRef>
              <c:f>SA!$BH$12:$BJ$12</c:f>
              <c:numCache>
                <c:formatCode>#,##0</c:formatCode>
                <c:ptCount val="3"/>
                <c:pt idx="0">
                  <c:v>40.059357907024051</c:v>
                </c:pt>
                <c:pt idx="1">
                  <c:v>74.236471964451013</c:v>
                </c:pt>
                <c:pt idx="2">
                  <c:v>21.914021923261469</c:v>
                </c:pt>
              </c:numCache>
            </c:numRef>
          </c:val>
        </c:ser>
        <c:ser>
          <c:idx val="3"/>
          <c:order val="3"/>
          <c:tx>
            <c:strRef>
              <c:f>SA!$BG$13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3813E-17"/>
                  <c:y val="-4.6376820061955051E-2"/>
                </c:manualLayout>
              </c:layout>
              <c:showVal val="1"/>
            </c:dLbl>
            <c:showVal val="1"/>
          </c:dLbls>
          <c:cat>
            <c:strRef>
              <c:f>SA!$BH$9:$BJ$9</c:f>
              <c:strCache>
                <c:ptCount val="3"/>
                <c:pt idx="0">
                  <c:v>MSW</c:v>
                </c:pt>
                <c:pt idx="1">
                  <c:v>C&amp;I</c:v>
                </c:pt>
                <c:pt idx="2">
                  <c:v>C&amp;D</c:v>
                </c:pt>
              </c:strCache>
            </c:strRef>
          </c:cat>
          <c:val>
            <c:numRef>
              <c:f>SA!$BH$13:$BJ$13</c:f>
              <c:numCache>
                <c:formatCode>0%</c:formatCode>
                <c:ptCount val="3"/>
                <c:pt idx="0">
                  <c:v>0.60895411930163024</c:v>
                </c:pt>
                <c:pt idx="1">
                  <c:v>0.88558127680672083</c:v>
                </c:pt>
                <c:pt idx="2">
                  <c:v>0.75012642141940022</c:v>
                </c:pt>
              </c:numCache>
            </c:numRef>
          </c:val>
        </c:ser>
        <c:dLbls/>
        <c:overlap val="100"/>
        <c:axId val="99167232"/>
        <c:axId val="99185408"/>
      </c:barChart>
      <c:catAx>
        <c:axId val="99167232"/>
        <c:scaling>
          <c:orientation val="minMax"/>
        </c:scaling>
        <c:axPos val="b"/>
        <c:majorTickMark val="none"/>
        <c:tickLblPos val="nextTo"/>
        <c:crossAx val="99185408"/>
        <c:crosses val="autoZero"/>
        <c:auto val="1"/>
        <c:lblAlgn val="ctr"/>
        <c:lblOffset val="100"/>
      </c:catAx>
      <c:valAx>
        <c:axId val="99185408"/>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868"/>
            </c:manualLayout>
          </c:layout>
        </c:title>
        <c:numFmt formatCode="#,##0" sourceLinked="1"/>
        <c:tickLblPos val="nextTo"/>
        <c:spPr>
          <a:ln>
            <a:noFill/>
          </a:ln>
        </c:spPr>
        <c:crossAx val="99167232"/>
        <c:crosses val="autoZero"/>
        <c:crossBetween val="between"/>
        <c:majorUnit val="500"/>
      </c:valAx>
    </c:plotArea>
    <c:legend>
      <c:legendPos val="t"/>
      <c:legendEntry>
        <c:idx val="3"/>
        <c:delete val="1"/>
      </c:legendEntry>
    </c:legend>
    <c:plotVisOnly val="1"/>
    <c:dispBlanksAs val="gap"/>
  </c:chart>
  <c:spPr>
    <a:ln>
      <a:noFill/>
    </a:ln>
  </c:spPr>
  <c:printSettings>
    <c:headerFooter/>
    <c:pageMargins b="0.75000000000000855" l="0.70000000000000062" r="0.70000000000000062" t="0.750000000000008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2"/>
          <c:y val="0.16317884983295219"/>
          <c:w val="0.78381714785651757"/>
          <c:h val="0.72063954730382218"/>
        </c:manualLayout>
      </c:layout>
      <c:barChart>
        <c:barDir val="col"/>
        <c:grouping val="stacked"/>
        <c:ser>
          <c:idx val="0"/>
          <c:order val="0"/>
          <c:tx>
            <c:strRef>
              <c:f>SA!$BG$10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(SA!$BH$7,SA!$BM$7)</c:f>
              <c:strCache>
                <c:ptCount val="2"/>
                <c:pt idx="0">
                  <c:v>2010/11 excl. fly ash</c:v>
                </c:pt>
                <c:pt idx="1">
                  <c:v>2010/11 incl. fly ash</c:v>
                </c:pt>
              </c:strCache>
            </c:strRef>
          </c:cat>
          <c:val>
            <c:numRef>
              <c:f>(SA!$BL$10,SA!$BN$10)</c:f>
              <c:numCache>
                <c:formatCode>#,##0.00</c:formatCode>
                <c:ptCount val="2"/>
                <c:pt idx="0">
                  <c:v>0.53993457697631952</c:v>
                </c:pt>
                <c:pt idx="1">
                  <c:v>0.53993457697631952</c:v>
                </c:pt>
              </c:numCache>
            </c:numRef>
          </c:val>
        </c:ser>
        <c:ser>
          <c:idx val="1"/>
          <c:order val="1"/>
          <c:tx>
            <c:strRef>
              <c:f>SA!$BG$11</c:f>
              <c:strCache>
                <c:ptCount val="1"/>
                <c:pt idx="0">
                  <c:v>Recycling</c:v>
                </c:pt>
              </c:strCache>
            </c:strRef>
          </c:tx>
          <c:spPr>
            <a:solidFill>
              <a:srgbClr val="FFCC00"/>
            </a:solidFill>
          </c:spPr>
          <c:dLbls>
            <c:showVal val="1"/>
          </c:dLbls>
          <c:cat>
            <c:strRef>
              <c:f>(SA!$BH$7,SA!$BM$7)</c:f>
              <c:strCache>
                <c:ptCount val="2"/>
                <c:pt idx="0">
                  <c:v>2010/11 excl. fly ash</c:v>
                </c:pt>
                <c:pt idx="1">
                  <c:v>2010/11 incl. fly ash</c:v>
                </c:pt>
              </c:strCache>
            </c:strRef>
          </c:cat>
          <c:val>
            <c:numRef>
              <c:f>(SA!$BL$11,SA!$BN$11)</c:f>
              <c:numCache>
                <c:formatCode>#,##0.00</c:formatCode>
                <c:ptCount val="2"/>
                <c:pt idx="0">
                  <c:v>1.7413377332148747</c:v>
                </c:pt>
                <c:pt idx="1">
                  <c:v>1.8636699354850546</c:v>
                </c:pt>
              </c:numCache>
            </c:numRef>
          </c:val>
        </c:ser>
        <c:ser>
          <c:idx val="2"/>
          <c:order val="2"/>
          <c:tx>
            <c:strRef>
              <c:f>SA!$BG$12</c:f>
              <c:strCache>
                <c:ptCount val="1"/>
                <c:pt idx="0">
                  <c:v>Energy recovery</c:v>
                </c:pt>
              </c:strCache>
            </c:strRef>
          </c:tx>
          <c:spPr>
            <a:solidFill>
              <a:schemeClr val="accent6">
                <a:lumMod val="75000"/>
              </a:schemeClr>
            </a:solidFill>
          </c:spPr>
          <c:dLbls>
            <c:dLbl>
              <c:idx val="0"/>
              <c:layout>
                <c:manualLayout>
                  <c:x val="-2.1371375521569828E-7"/>
                  <c:y val="9.2753640123910096E-3"/>
                </c:manualLayout>
              </c:layout>
              <c:showVal val="1"/>
            </c:dLbl>
            <c:dLbl>
              <c:idx val="1"/>
              <c:layout>
                <c:manualLayout>
                  <c:x val="-2.1371375521569828E-7"/>
                  <c:y val="9.2753640123910547E-3"/>
                </c:manualLayout>
              </c:layout>
              <c:showVal val="1"/>
            </c:dLbl>
            <c:showVal val="1"/>
          </c:dLbls>
          <c:cat>
            <c:strRef>
              <c:f>(SA!$BH$7,SA!$BM$7)</c:f>
              <c:strCache>
                <c:ptCount val="2"/>
                <c:pt idx="0">
                  <c:v>2010/11 excl. fly ash</c:v>
                </c:pt>
                <c:pt idx="1">
                  <c:v>2010/11 incl. fly ash</c:v>
                </c:pt>
              </c:strCache>
            </c:strRef>
          </c:cat>
          <c:val>
            <c:numRef>
              <c:f>(SA!$BL$12,SA!$BN$12)</c:f>
              <c:numCache>
                <c:formatCode>#,##0.00</c:formatCode>
                <c:ptCount val="2"/>
                <c:pt idx="0">
                  <c:v>8.3314255704724643E-2</c:v>
                </c:pt>
                <c:pt idx="1">
                  <c:v>8.3314255704724643E-2</c:v>
                </c:pt>
              </c:numCache>
            </c:numRef>
          </c:val>
        </c:ser>
        <c:ser>
          <c:idx val="3"/>
          <c:order val="3"/>
          <c:tx>
            <c:strRef>
              <c:f>SA!$BG$13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(SA!$BH$7,SA!$BM$7)</c:f>
              <c:strCache>
                <c:ptCount val="2"/>
                <c:pt idx="0">
                  <c:v>2010/11 excl. fly ash</c:v>
                </c:pt>
                <c:pt idx="1">
                  <c:v>2010/11 incl. fly ash</c:v>
                </c:pt>
              </c:strCache>
            </c:strRef>
          </c:cat>
          <c:val>
            <c:numRef>
              <c:f>(SA!$BL$13,SA!$BN$13)</c:f>
              <c:numCache>
                <c:formatCode>0%</c:formatCode>
                <c:ptCount val="2"/>
                <c:pt idx="0">
                  <c:v>0.77165793599451349</c:v>
                </c:pt>
                <c:pt idx="1">
                  <c:v>0.78289014346275665</c:v>
                </c:pt>
              </c:numCache>
            </c:numRef>
          </c:val>
        </c:ser>
        <c:dLbls/>
        <c:overlap val="100"/>
        <c:axId val="99246848"/>
        <c:axId val="99248384"/>
      </c:barChart>
      <c:catAx>
        <c:axId val="99246848"/>
        <c:scaling>
          <c:orientation val="minMax"/>
        </c:scaling>
        <c:axPos val="b"/>
        <c:majorTickMark val="none"/>
        <c:tickLblPos val="nextTo"/>
        <c:crossAx val="99248384"/>
        <c:crosses val="autoZero"/>
        <c:auto val="1"/>
        <c:lblAlgn val="ctr"/>
        <c:lblOffset val="100"/>
      </c:catAx>
      <c:valAx>
        <c:axId val="99248384"/>
        <c:scaling>
          <c:orientation val="minMax"/>
          <c:max val="3.5"/>
        </c:scaling>
        <c:axPos val="l"/>
        <c:majorGridlines/>
        <c:title>
          <c:tx>
            <c:rich>
              <a:bodyPr rot="-5400000" vert="horz"/>
              <a:lstStyle/>
              <a:p>
                <a:pPr>
                  <a:defRPr/>
                </a:pPr>
                <a:r>
                  <a:rPr lang="en-US"/>
                  <a:t>Tonnes per capita</a:t>
                </a:r>
              </a:p>
            </c:rich>
          </c:tx>
          <c:layout>
            <c:manualLayout>
              <c:xMode val="edge"/>
              <c:yMode val="edge"/>
              <c:x val="4.0023457221772474E-2"/>
              <c:y val="0.3196841848105369"/>
            </c:manualLayout>
          </c:layout>
        </c:title>
        <c:numFmt formatCode="#,##0.0" sourceLinked="0"/>
        <c:tickLblPos val="nextTo"/>
        <c:spPr>
          <a:ln>
            <a:noFill/>
          </a:ln>
        </c:spPr>
        <c:crossAx val="99246848"/>
        <c:crosses val="autoZero"/>
        <c:crossBetween val="between"/>
      </c:valAx>
    </c:plotArea>
    <c:legend>
      <c:legendPos val="t"/>
      <c:legendEntry>
        <c:idx val="3"/>
        <c:delete val="1"/>
      </c:legendEntry>
    </c:legend>
    <c:plotVisOnly val="1"/>
    <c:dispBlanksAs val="gap"/>
  </c:chart>
  <c:spPr>
    <a:ln>
      <a:noFill/>
    </a:ln>
  </c:spPr>
  <c:printSettings>
    <c:headerFooter/>
    <c:pageMargins b="0.75000000000000855" l="0.70000000000000062" r="0.70000000000000062" t="0.7500000000000085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045"/>
        </c:manualLayout>
      </c:layout>
      <c:barChart>
        <c:barDir val="col"/>
        <c:grouping val="stacked"/>
        <c:ser>
          <c:idx val="0"/>
          <c:order val="0"/>
          <c:tx>
            <c:strRef>
              <c:f>SA!$BH$22</c:f>
              <c:strCache>
                <c:ptCount val="1"/>
                <c:pt idx="0">
                  <c:v>Disposal</c:v>
                </c:pt>
              </c:strCache>
            </c:strRef>
          </c:tx>
          <c:spPr>
            <a:solidFill>
              <a:schemeClr val="accent2">
                <a:lumMod val="75000"/>
              </a:schemeClr>
            </a:solidFill>
          </c:spPr>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SA!$BH$23:$BH$31</c:f>
              <c:numCache>
                <c:formatCode>#,##0</c:formatCode>
                <c:ptCount val="9"/>
                <c:pt idx="0">
                  <c:v>136.73484534630603</c:v>
                </c:pt>
                <c:pt idx="1">
                  <c:v>28.14428713805609</c:v>
                </c:pt>
                <c:pt idx="2">
                  <c:v>368.98316470429313</c:v>
                </c:pt>
                <c:pt idx="3">
                  <c:v>75.458636241817516</c:v>
                </c:pt>
                <c:pt idx="4">
                  <c:v>57.623980223939348</c:v>
                </c:pt>
                <c:pt idx="5">
                  <c:v>15.943946842860193</c:v>
                </c:pt>
                <c:pt idx="6">
                  <c:v>29.874632716866564</c:v>
                </c:pt>
                <c:pt idx="7">
                  <c:v>169.97149717511871</c:v>
                </c:pt>
                <c:pt idx="8">
                  <c:v>0</c:v>
                </c:pt>
              </c:numCache>
            </c:numRef>
          </c:val>
        </c:ser>
        <c:ser>
          <c:idx val="1"/>
          <c:order val="1"/>
          <c:tx>
            <c:strRef>
              <c:f>SA!$BI$22</c:f>
              <c:strCache>
                <c:ptCount val="1"/>
                <c:pt idx="0">
                  <c:v>Recycling</c:v>
                </c:pt>
              </c:strCache>
            </c:strRef>
          </c:tx>
          <c:spPr>
            <a:solidFill>
              <a:srgbClr val="FFCC00"/>
            </a:solidFill>
          </c:spPr>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SA!$BI$23:$BI$31</c:f>
              <c:numCache>
                <c:formatCode>#,##0</c:formatCode>
                <c:ptCount val="9"/>
                <c:pt idx="0">
                  <c:v>1137.0999999999999</c:v>
                </c:pt>
                <c:pt idx="1">
                  <c:v>441.5</c:v>
                </c:pt>
                <c:pt idx="2">
                  <c:v>954.4</c:v>
                </c:pt>
                <c:pt idx="3">
                  <c:v>211.3</c:v>
                </c:pt>
                <c:pt idx="4">
                  <c:v>23.7</c:v>
                </c:pt>
                <c:pt idx="5">
                  <c:v>58</c:v>
                </c:pt>
                <c:pt idx="6">
                  <c:v>20.9</c:v>
                </c:pt>
                <c:pt idx="7">
                  <c:v>0</c:v>
                </c:pt>
                <c:pt idx="8">
                  <c:v>200</c:v>
                </c:pt>
              </c:numCache>
            </c:numRef>
          </c:val>
        </c:ser>
        <c:ser>
          <c:idx val="2"/>
          <c:order val="2"/>
          <c:tx>
            <c:strRef>
              <c:f>SA!$BJ$22</c:f>
              <c:strCache>
                <c:ptCount val="1"/>
                <c:pt idx="0">
                  <c:v>Energy recovery</c:v>
                </c:pt>
              </c:strCache>
            </c:strRef>
          </c:tx>
          <c:spPr>
            <a:solidFill>
              <a:schemeClr val="accent6">
                <a:lumMod val="75000"/>
              </a:schemeClr>
            </a:solidFill>
          </c:spPr>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SA!$BJ$23:$BJ$31</c:f>
              <c:numCache>
                <c:formatCode>#,##0</c:formatCode>
                <c:ptCount val="9"/>
                <c:pt idx="0">
                  <c:v>0</c:v>
                </c:pt>
                <c:pt idx="1">
                  <c:v>0</c:v>
                </c:pt>
                <c:pt idx="2">
                  <c:v>99.772142751382333</c:v>
                </c:pt>
                <c:pt idx="3">
                  <c:v>10.27512355285244</c:v>
                </c:pt>
                <c:pt idx="4">
                  <c:v>16.5</c:v>
                </c:pt>
                <c:pt idx="5">
                  <c:v>0</c:v>
                </c:pt>
                <c:pt idx="6">
                  <c:v>9.6625854905017707</c:v>
                </c:pt>
                <c:pt idx="7">
                  <c:v>0</c:v>
                </c:pt>
                <c:pt idx="8">
                  <c:v>0</c:v>
                </c:pt>
              </c:numCache>
            </c:numRef>
          </c:val>
        </c:ser>
        <c:ser>
          <c:idx val="3"/>
          <c:order val="3"/>
          <c:tx>
            <c:strRef>
              <c:f>SA!$BK$22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035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382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35E-2"/>
                </c:manualLayout>
              </c:layout>
              <c:showVal val="1"/>
            </c:dLbl>
            <c:showVal val="1"/>
          </c:dLbls>
          <c:cat>
            <c:strRef>
              <c:f>SA!$BG$23:$BG$31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SA!$BK$23:$BK$31</c:f>
              <c:numCache>
                <c:formatCode>0%</c:formatCode>
                <c:ptCount val="9"/>
                <c:pt idx="0">
                  <c:v>0.89265889071425653</c:v>
                </c:pt>
                <c:pt idx="1">
                  <c:v>0.94007318323924838</c:v>
                </c:pt>
                <c:pt idx="2">
                  <c:v>0.74072881380461353</c:v>
                </c:pt>
                <c:pt idx="3">
                  <c:v>0.74595939433288772</c:v>
                </c:pt>
                <c:pt idx="4">
                  <c:v>0.41094218317404257</c:v>
                </c:pt>
                <c:pt idx="5">
                  <c:v>0.78437793053239369</c:v>
                </c:pt>
                <c:pt idx="6">
                  <c:v>0.50569146623587757</c:v>
                </c:pt>
                <c:pt idx="7">
                  <c:v>0</c:v>
                </c:pt>
                <c:pt idx="8">
                  <c:v>1</c:v>
                </c:pt>
              </c:numCache>
            </c:numRef>
          </c:val>
        </c:ser>
        <c:dLbls/>
        <c:overlap val="100"/>
        <c:axId val="99300480"/>
        <c:axId val="99302016"/>
      </c:barChart>
      <c:catAx>
        <c:axId val="99300480"/>
        <c:scaling>
          <c:orientation val="minMax"/>
        </c:scaling>
        <c:axPos val="b"/>
        <c:majorTickMark val="none"/>
        <c:tickLblPos val="nextTo"/>
        <c:crossAx val="99302016"/>
        <c:crosses val="autoZero"/>
        <c:auto val="1"/>
        <c:lblAlgn val="ctr"/>
        <c:lblOffset val="100"/>
      </c:catAx>
      <c:valAx>
        <c:axId val="99302016"/>
        <c:scaling>
          <c:orientation val="minMax"/>
          <c:max val="1600"/>
          <c:min val="0"/>
        </c:scaling>
        <c:axPos val="l"/>
        <c:majorGridlines/>
        <c:title>
          <c:tx>
            <c:rich>
              <a:bodyPr rot="-5400000" vert="horz"/>
              <a:lstStyle/>
              <a:p>
                <a:pPr>
                  <a:defRPr/>
                </a:pPr>
                <a:r>
                  <a:rPr lang="en-US"/>
                  <a:t>Thousands of tonnes</a:t>
                </a:r>
              </a:p>
            </c:rich>
          </c:tx>
          <c:layout>
            <c:manualLayout>
              <c:xMode val="edge"/>
              <c:yMode val="edge"/>
              <c:x val="2.6154289363295433E-2"/>
              <c:y val="0.31387539680482895"/>
            </c:manualLayout>
          </c:layout>
        </c:title>
        <c:numFmt formatCode="#,##0" sourceLinked="1"/>
        <c:tickLblPos val="nextTo"/>
        <c:spPr>
          <a:ln>
            <a:noFill/>
          </a:ln>
        </c:spPr>
        <c:crossAx val="99300480"/>
        <c:crosses val="autoZero"/>
        <c:crossBetween val="between"/>
        <c:majorUnit val="250"/>
      </c:valAx>
    </c:plotArea>
    <c:legend>
      <c:legendPos val="t"/>
      <c:legendEntry>
        <c:idx val="3"/>
        <c:delete val="1"/>
      </c:legendEntry>
    </c:legend>
    <c:plotVisOnly val="1"/>
    <c:dispBlanksAs val="gap"/>
  </c:chart>
  <c:spPr>
    <a:ln>
      <a:noFill/>
    </a:ln>
  </c:spPr>
  <c:printSettings>
    <c:headerFooter/>
    <c:pageMargins b="0.75000000000000877" l="0.70000000000000062" r="0.70000000000000062" t="0.75000000000000877"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SA!$BU$43</c:f>
              <c:strCache>
                <c:ptCount val="1"/>
                <c:pt idx="0">
                  <c:v>Disposal</c:v>
                </c:pt>
              </c:strCache>
            </c:strRef>
          </c:tx>
          <c:spPr>
            <a:solidFill>
              <a:srgbClr val="C0504D">
                <a:lumMod val="75000"/>
              </a:srgbClr>
            </a:solidFill>
          </c:spPr>
          <c:cat>
            <c:strRef>
              <c:f>SA!$BV$42:$BZ$42</c:f>
              <c:strCache>
                <c:ptCount val="5"/>
                <c:pt idx="0">
                  <c:v>06/07</c:v>
                </c:pt>
                <c:pt idx="1">
                  <c:v>07/08</c:v>
                </c:pt>
                <c:pt idx="2">
                  <c:v>08/09</c:v>
                </c:pt>
                <c:pt idx="3">
                  <c:v>09/10</c:v>
                </c:pt>
                <c:pt idx="4">
                  <c:v>10/11</c:v>
                </c:pt>
              </c:strCache>
            </c:strRef>
          </c:cat>
          <c:val>
            <c:numRef>
              <c:f>SA!$BV$43:$BZ$43</c:f>
              <c:numCache>
                <c:formatCode>#,##0.00</c:formatCode>
                <c:ptCount val="5"/>
                <c:pt idx="0">
                  <c:v>0.63989425787136811</c:v>
                </c:pt>
                <c:pt idx="1">
                  <c:v>0.6151351487188037</c:v>
                </c:pt>
                <c:pt idx="2">
                  <c:v>0.5903760395662393</c:v>
                </c:pt>
                <c:pt idx="3">
                  <c:v>0.5524997327497847</c:v>
                </c:pt>
                <c:pt idx="4">
                  <c:v>0.53993457697631952</c:v>
                </c:pt>
              </c:numCache>
            </c:numRef>
          </c:val>
        </c:ser>
        <c:ser>
          <c:idx val="1"/>
          <c:order val="1"/>
          <c:tx>
            <c:strRef>
              <c:f>SA!$BU$44</c:f>
              <c:strCache>
                <c:ptCount val="1"/>
                <c:pt idx="0">
                  <c:v>Recycling</c:v>
                </c:pt>
              </c:strCache>
            </c:strRef>
          </c:tx>
          <c:spPr>
            <a:solidFill>
              <a:srgbClr val="FFCC00"/>
            </a:solidFill>
          </c:spPr>
          <c:cat>
            <c:strRef>
              <c:f>SA!$BV$42:$BZ$42</c:f>
              <c:strCache>
                <c:ptCount val="5"/>
                <c:pt idx="0">
                  <c:v>06/07</c:v>
                </c:pt>
                <c:pt idx="1">
                  <c:v>07/08</c:v>
                </c:pt>
                <c:pt idx="2">
                  <c:v>08/09</c:v>
                </c:pt>
                <c:pt idx="3">
                  <c:v>09/10</c:v>
                </c:pt>
                <c:pt idx="4">
                  <c:v>10/11</c:v>
                </c:pt>
              </c:strCache>
            </c:strRef>
          </c:cat>
          <c:val>
            <c:numRef>
              <c:f>SA!$BV$44:$BZ$44</c:f>
              <c:numCache>
                <c:formatCode>#,##0.00</c:formatCode>
                <c:ptCount val="5"/>
                <c:pt idx="0">
                  <c:v>1.3270024786003183</c:v>
                </c:pt>
                <c:pt idx="1">
                  <c:v>1.377376265130617</c:v>
                </c:pt>
                <c:pt idx="2">
                  <c:v>1.4277500516609156</c:v>
                </c:pt>
                <c:pt idx="3">
                  <c:v>1.4279250857943093</c:v>
                </c:pt>
                <c:pt idx="4">
                  <c:v>1.7413377332148747</c:v>
                </c:pt>
              </c:numCache>
            </c:numRef>
          </c:val>
        </c:ser>
        <c:ser>
          <c:idx val="2"/>
          <c:order val="2"/>
          <c:tx>
            <c:strRef>
              <c:f>SA!$BU$45</c:f>
              <c:strCache>
                <c:ptCount val="1"/>
                <c:pt idx="0">
                  <c:v>Energy recovery</c:v>
                </c:pt>
              </c:strCache>
            </c:strRef>
          </c:tx>
          <c:spPr>
            <a:solidFill>
              <a:schemeClr val="accent6">
                <a:lumMod val="75000"/>
              </a:schemeClr>
            </a:solidFill>
          </c:spPr>
          <c:cat>
            <c:strRef>
              <c:f>SA!$BV$42:$BZ$42</c:f>
              <c:strCache>
                <c:ptCount val="5"/>
                <c:pt idx="0">
                  <c:v>06/07</c:v>
                </c:pt>
                <c:pt idx="1">
                  <c:v>07/08</c:v>
                </c:pt>
                <c:pt idx="2">
                  <c:v>08/09</c:v>
                </c:pt>
                <c:pt idx="3">
                  <c:v>09/10</c:v>
                </c:pt>
                <c:pt idx="4">
                  <c:v>10/11</c:v>
                </c:pt>
              </c:strCache>
            </c:strRef>
          </c:cat>
          <c:val>
            <c:numRef>
              <c:f>SA!$BV$45:$BZ$45</c:f>
              <c:numCache>
                <c:formatCode>#,##0.00</c:formatCode>
                <c:ptCount val="5"/>
                <c:pt idx="0">
                  <c:v>6.633486797189965E-2</c:v>
                </c:pt>
                <c:pt idx="1">
                  <c:v>7.6303104683287812E-2</c:v>
                </c:pt>
                <c:pt idx="2">
                  <c:v>8.6271341394675974E-2</c:v>
                </c:pt>
                <c:pt idx="3">
                  <c:v>8.3959530061943219E-2</c:v>
                </c:pt>
                <c:pt idx="4">
                  <c:v>8.3314255704724643E-2</c:v>
                </c:pt>
              </c:numCache>
            </c:numRef>
          </c:val>
        </c:ser>
        <c:dLbls/>
        <c:axId val="99632640"/>
        <c:axId val="99634176"/>
      </c:areaChart>
      <c:catAx>
        <c:axId val="99632640"/>
        <c:scaling>
          <c:orientation val="minMax"/>
        </c:scaling>
        <c:axPos val="b"/>
        <c:tickLblPos val="nextTo"/>
        <c:crossAx val="99634176"/>
        <c:crosses val="autoZero"/>
        <c:auto val="1"/>
        <c:lblAlgn val="ctr"/>
        <c:lblOffset val="100"/>
      </c:catAx>
      <c:valAx>
        <c:axId val="99634176"/>
        <c:scaling>
          <c:orientation val="minMax"/>
          <c:max val="2.5"/>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99632640"/>
        <c:crosses val="autoZero"/>
        <c:crossBetween val="midCat"/>
      </c:valAx>
    </c:plotArea>
    <c:legend>
      <c:legendPos val="t"/>
    </c:legend>
    <c:plotVisOnly val="1"/>
    <c:dispBlanksAs val="zero"/>
  </c:chart>
  <c:spPr>
    <a:ln>
      <a:noFill/>
    </a:ln>
  </c:spPr>
  <c:printSettings>
    <c:headerFooter/>
    <c:pageMargins b="0.75000000000000555" l="0.70000000000000062" r="0.70000000000000062" t="0.7500000000000055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SA!$BU$66</c:f>
              <c:strCache>
                <c:ptCount val="1"/>
                <c:pt idx="0">
                  <c:v>Disposal</c:v>
                </c:pt>
              </c:strCache>
            </c:strRef>
          </c:tx>
          <c:spPr>
            <a:solidFill>
              <a:srgbClr val="C0504D">
                <a:lumMod val="75000"/>
              </a:srgbClr>
            </a:solidFill>
          </c:spPr>
          <c:cat>
            <c:strRef>
              <c:f>SA!$BV$65:$BZ$65</c:f>
              <c:strCache>
                <c:ptCount val="5"/>
                <c:pt idx="0">
                  <c:v>06/07</c:v>
                </c:pt>
                <c:pt idx="1">
                  <c:v>07/08</c:v>
                </c:pt>
                <c:pt idx="2">
                  <c:v>08/09</c:v>
                </c:pt>
                <c:pt idx="3">
                  <c:v>09/10</c:v>
                </c:pt>
                <c:pt idx="4">
                  <c:v>10/11</c:v>
                </c:pt>
              </c:strCache>
            </c:strRef>
          </c:cat>
          <c:val>
            <c:numRef>
              <c:f>SA!$BV$66:$BZ$66</c:f>
              <c:numCache>
                <c:formatCode>#,##0</c:formatCode>
                <c:ptCount val="5"/>
                <c:pt idx="0">
                  <c:v>1009.3061727818958</c:v>
                </c:pt>
                <c:pt idx="1">
                  <c:v>979.26826591604402</c:v>
                </c:pt>
                <c:pt idx="2">
                  <c:v>949.23035905019219</c:v>
                </c:pt>
                <c:pt idx="3">
                  <c:v>897.54962834534399</c:v>
                </c:pt>
                <c:pt idx="4">
                  <c:v>882.73499038925763</c:v>
                </c:pt>
              </c:numCache>
            </c:numRef>
          </c:val>
        </c:ser>
        <c:ser>
          <c:idx val="1"/>
          <c:order val="1"/>
          <c:tx>
            <c:strRef>
              <c:f>SA!$BU$67</c:f>
              <c:strCache>
                <c:ptCount val="1"/>
                <c:pt idx="0">
                  <c:v>Recycling</c:v>
                </c:pt>
              </c:strCache>
            </c:strRef>
          </c:tx>
          <c:spPr>
            <a:solidFill>
              <a:srgbClr val="FFCC00"/>
            </a:solidFill>
          </c:spPr>
          <c:cat>
            <c:strRef>
              <c:f>SA!$BV$65:$BZ$65</c:f>
              <c:strCache>
                <c:ptCount val="5"/>
                <c:pt idx="0">
                  <c:v>06/07</c:v>
                </c:pt>
                <c:pt idx="1">
                  <c:v>07/08</c:v>
                </c:pt>
                <c:pt idx="2">
                  <c:v>08/09</c:v>
                </c:pt>
                <c:pt idx="3">
                  <c:v>09/10</c:v>
                </c:pt>
                <c:pt idx="4">
                  <c:v>10/11</c:v>
                </c:pt>
              </c:strCache>
            </c:strRef>
          </c:cat>
          <c:val>
            <c:numRef>
              <c:f>SA!$BV$67:$BZ$67</c:f>
              <c:numCache>
                <c:formatCode>#,##0</c:formatCode>
                <c:ptCount val="5"/>
                <c:pt idx="0">
                  <c:v>2109.9630000000002</c:v>
                </c:pt>
                <c:pt idx="1">
                  <c:v>2209.6675</c:v>
                </c:pt>
                <c:pt idx="2">
                  <c:v>2309.3719999999998</c:v>
                </c:pt>
                <c:pt idx="3">
                  <c:v>2340.1799999999998</c:v>
                </c:pt>
                <c:pt idx="4">
                  <c:v>2846.9</c:v>
                </c:pt>
              </c:numCache>
            </c:numRef>
          </c:val>
        </c:ser>
        <c:ser>
          <c:idx val="2"/>
          <c:order val="2"/>
          <c:tx>
            <c:strRef>
              <c:f>SA!$BU$68</c:f>
              <c:strCache>
                <c:ptCount val="1"/>
                <c:pt idx="0">
                  <c:v>Energy recovery</c:v>
                </c:pt>
              </c:strCache>
            </c:strRef>
          </c:tx>
          <c:spPr>
            <a:solidFill>
              <a:schemeClr val="accent6">
                <a:lumMod val="75000"/>
              </a:schemeClr>
            </a:solidFill>
          </c:spPr>
          <c:cat>
            <c:strRef>
              <c:f>SA!$BV$65:$BZ$65</c:f>
              <c:strCache>
                <c:ptCount val="5"/>
                <c:pt idx="0">
                  <c:v>06/07</c:v>
                </c:pt>
                <c:pt idx="1">
                  <c:v>07/08</c:v>
                </c:pt>
                <c:pt idx="2">
                  <c:v>08/09</c:v>
                </c:pt>
                <c:pt idx="3">
                  <c:v>09/10</c:v>
                </c:pt>
                <c:pt idx="4">
                  <c:v>10/11</c:v>
                </c:pt>
              </c:strCache>
            </c:strRef>
          </c:cat>
          <c:val>
            <c:numRef>
              <c:f>SA!$BV$68:$BZ$68</c:f>
              <c:numCache>
                <c:formatCode>#,##0</c:formatCode>
                <c:ptCount val="5"/>
                <c:pt idx="0">
                  <c:v>104.63008675437931</c:v>
                </c:pt>
                <c:pt idx="1">
                  <c:v>121.67031093511522</c:v>
                </c:pt>
                <c:pt idx="2">
                  <c:v>138.71053511585114</c:v>
                </c:pt>
                <c:pt idx="3">
                  <c:v>136.39435557387827</c:v>
                </c:pt>
                <c:pt idx="4">
                  <c:v>136.20985179473655</c:v>
                </c:pt>
              </c:numCache>
            </c:numRef>
          </c:val>
        </c:ser>
        <c:dLbls/>
        <c:axId val="99685888"/>
        <c:axId val="99687424"/>
      </c:areaChart>
      <c:catAx>
        <c:axId val="99685888"/>
        <c:scaling>
          <c:orientation val="minMax"/>
        </c:scaling>
        <c:axPos val="b"/>
        <c:tickLblPos val="nextTo"/>
        <c:crossAx val="99687424"/>
        <c:crosses val="autoZero"/>
        <c:auto val="1"/>
        <c:lblAlgn val="ctr"/>
        <c:lblOffset val="100"/>
      </c:catAx>
      <c:valAx>
        <c:axId val="99687424"/>
        <c:scaling>
          <c:orientation val="minMax"/>
        </c:scaling>
        <c:axPos val="l"/>
        <c:majorGridlines/>
        <c:title>
          <c:tx>
            <c:rich>
              <a:bodyPr rot="-5400000" vert="horz"/>
              <a:lstStyle/>
              <a:p>
                <a:pPr>
                  <a:defRPr/>
                </a:pPr>
                <a:r>
                  <a:rPr lang="en-US"/>
                  <a:t>Millions of tonnes</a:t>
                </a:r>
              </a:p>
            </c:rich>
          </c:tx>
        </c:title>
        <c:numFmt formatCode="0," sourceLinked="0"/>
        <c:tickLblPos val="nextTo"/>
        <c:crossAx val="99685888"/>
        <c:crosses val="autoZero"/>
        <c:crossBetween val="midCat"/>
        <c:majorUnit val="1000"/>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SA!$BV$88</c:f>
              <c:strCache>
                <c:ptCount val="1"/>
                <c:pt idx="0">
                  <c:v>Disposal</c:v>
                </c:pt>
              </c:strCache>
            </c:strRef>
          </c:tx>
          <c:spPr>
            <a:solidFill>
              <a:srgbClr val="C0504D">
                <a:lumMod val="75000"/>
              </a:srgbClr>
            </a:solidFill>
          </c:spPr>
          <c:cat>
            <c:strRef>
              <c:f>SA!$BU$89:$BU$93</c:f>
              <c:strCache>
                <c:ptCount val="5"/>
                <c:pt idx="0">
                  <c:v>06/07</c:v>
                </c:pt>
                <c:pt idx="1">
                  <c:v>07/08</c:v>
                </c:pt>
                <c:pt idx="2">
                  <c:v>08/09</c:v>
                </c:pt>
                <c:pt idx="3">
                  <c:v>09/10</c:v>
                </c:pt>
                <c:pt idx="4">
                  <c:v>10/11</c:v>
                </c:pt>
              </c:strCache>
            </c:strRef>
          </c:cat>
          <c:val>
            <c:numRef>
              <c:f>SA!$BV$89:$BV$93</c:f>
              <c:numCache>
                <c:formatCode>#,##0</c:formatCode>
                <c:ptCount val="5"/>
                <c:pt idx="0">
                  <c:v>424.0111759316373</c:v>
                </c:pt>
                <c:pt idx="1">
                  <c:v>414.22028764334902</c:v>
                </c:pt>
                <c:pt idx="2">
                  <c:v>404.42939935506075</c:v>
                </c:pt>
                <c:pt idx="3">
                  <c:v>380.47731006711939</c:v>
                </c:pt>
                <c:pt idx="4">
                  <c:v>368.98316470429313</c:v>
                </c:pt>
              </c:numCache>
            </c:numRef>
          </c:val>
        </c:ser>
        <c:ser>
          <c:idx val="1"/>
          <c:order val="1"/>
          <c:tx>
            <c:strRef>
              <c:f>SA!$BW$88</c:f>
              <c:strCache>
                <c:ptCount val="1"/>
                <c:pt idx="0">
                  <c:v>Recycling</c:v>
                </c:pt>
              </c:strCache>
            </c:strRef>
          </c:tx>
          <c:spPr>
            <a:solidFill>
              <a:srgbClr val="FFCC00"/>
            </a:solidFill>
          </c:spPr>
          <c:cat>
            <c:strRef>
              <c:f>SA!$BU$89:$BU$93</c:f>
              <c:strCache>
                <c:ptCount val="5"/>
                <c:pt idx="0">
                  <c:v>06/07</c:v>
                </c:pt>
                <c:pt idx="1">
                  <c:v>07/08</c:v>
                </c:pt>
                <c:pt idx="2">
                  <c:v>08/09</c:v>
                </c:pt>
                <c:pt idx="3">
                  <c:v>09/10</c:v>
                </c:pt>
                <c:pt idx="4">
                  <c:v>10/11</c:v>
                </c:pt>
              </c:strCache>
            </c:strRef>
          </c:cat>
          <c:val>
            <c:numRef>
              <c:f>SA!$BW$89:$BW$93</c:f>
              <c:numCache>
                <c:formatCode>#,##0</c:formatCode>
                <c:ptCount val="5"/>
                <c:pt idx="0">
                  <c:v>571.72699999999998</c:v>
                </c:pt>
                <c:pt idx="1">
                  <c:v>538.31849999999997</c:v>
                </c:pt>
                <c:pt idx="2">
                  <c:v>504.91</c:v>
                </c:pt>
                <c:pt idx="3">
                  <c:v>635.79999999999995</c:v>
                </c:pt>
                <c:pt idx="4">
                  <c:v>954.4</c:v>
                </c:pt>
              </c:numCache>
            </c:numRef>
          </c:val>
        </c:ser>
        <c:ser>
          <c:idx val="2"/>
          <c:order val="2"/>
          <c:tx>
            <c:strRef>
              <c:f>SA!$BX$88</c:f>
              <c:strCache>
                <c:ptCount val="1"/>
                <c:pt idx="0">
                  <c:v>Energy recovery</c:v>
                </c:pt>
              </c:strCache>
            </c:strRef>
          </c:tx>
          <c:spPr>
            <a:solidFill>
              <a:schemeClr val="accent6">
                <a:lumMod val="75000"/>
              </a:schemeClr>
            </a:solidFill>
          </c:spPr>
          <c:cat>
            <c:strRef>
              <c:f>SA!$BU$89:$BU$93</c:f>
              <c:strCache>
                <c:ptCount val="5"/>
                <c:pt idx="0">
                  <c:v>06/07</c:v>
                </c:pt>
                <c:pt idx="1">
                  <c:v>07/08</c:v>
                </c:pt>
                <c:pt idx="2">
                  <c:v>08/09</c:v>
                </c:pt>
                <c:pt idx="3">
                  <c:v>09/10</c:v>
                </c:pt>
                <c:pt idx="4">
                  <c:v>10/11</c:v>
                </c:pt>
              </c:strCache>
            </c:strRef>
          </c:cat>
          <c:val>
            <c:numRef>
              <c:f>SA!$BX$89:$BX$93</c:f>
              <c:numCache>
                <c:formatCode>#,##0</c:formatCode>
                <c:ptCount val="5"/>
                <c:pt idx="0">
                  <c:v>87.177788641760685</c:v>
                </c:pt>
                <c:pt idx="1">
                  <c:v>94.532348683894838</c:v>
                </c:pt>
                <c:pt idx="2">
                  <c:v>101.88690872602898</c:v>
                </c:pt>
                <c:pt idx="3">
                  <c:v>99.926241471980646</c:v>
                </c:pt>
                <c:pt idx="4">
                  <c:v>99.772142751382333</c:v>
                </c:pt>
              </c:numCache>
            </c:numRef>
          </c:val>
        </c:ser>
        <c:dLbls/>
        <c:axId val="99755520"/>
        <c:axId val="99757056"/>
      </c:areaChart>
      <c:catAx>
        <c:axId val="99755520"/>
        <c:scaling>
          <c:orientation val="minMax"/>
        </c:scaling>
        <c:axPos val="b"/>
        <c:tickLblPos val="nextTo"/>
        <c:crossAx val="99757056"/>
        <c:crosses val="autoZero"/>
        <c:auto val="1"/>
        <c:lblAlgn val="ctr"/>
        <c:lblOffset val="100"/>
      </c:catAx>
      <c:valAx>
        <c:axId val="99757056"/>
        <c:scaling>
          <c:orientation val="minMax"/>
          <c:max val="1600"/>
          <c:min val="0"/>
        </c:scaling>
        <c:axPos val="l"/>
        <c:majorGridlines/>
        <c:title>
          <c:tx>
            <c:rich>
              <a:bodyPr rot="-5400000" vert="horz"/>
              <a:lstStyle/>
              <a:p>
                <a:pPr>
                  <a:defRPr/>
                </a:pPr>
                <a:r>
                  <a:rPr lang="en-US"/>
                  <a:t>Thousands of tonnes</a:t>
                </a:r>
              </a:p>
            </c:rich>
          </c:tx>
          <c:layout>
            <c:manualLayout>
              <c:xMode val="edge"/>
              <c:yMode val="edge"/>
              <c:x val="1.9444444444444445E-2"/>
              <c:y val="0.30540422101846354"/>
            </c:manualLayout>
          </c:layout>
        </c:title>
        <c:numFmt formatCode="#,##0" sourceLinked="0"/>
        <c:tickLblPos val="nextTo"/>
        <c:crossAx val="99755520"/>
        <c:crosses val="autoZero"/>
        <c:crossBetween val="midCat"/>
        <c:majorUnit val="250"/>
      </c:valAx>
    </c:plotArea>
    <c:legend>
      <c:legendPos val="t"/>
    </c:legend>
    <c:plotVisOnly val="1"/>
    <c:dispBlanksAs val="zero"/>
  </c:chart>
  <c:spPr>
    <a:ln>
      <a:noFill/>
    </a:ln>
  </c:spPr>
  <c:printSettings>
    <c:headerFooter/>
    <c:pageMargins b="0.75000000000000622" l="0.70000000000000062" r="0.70000000000000062" t="0.75000000000000622"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45"/>
          <c:y val="0.16317884983295219"/>
          <c:w val="0.78381714785651757"/>
          <c:h val="0.72063954730382285"/>
        </c:manualLayout>
      </c:layout>
      <c:barChart>
        <c:barDir val="col"/>
        <c:grouping val="stacked"/>
        <c:ser>
          <c:idx val="0"/>
          <c:order val="0"/>
          <c:tx>
            <c:strRef>
              <c:f>Tas!$BG$10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(Tas!$BH$7,Tas!$BM$7)</c:f>
              <c:strCache>
                <c:ptCount val="2"/>
                <c:pt idx="0">
                  <c:v>2010/11 excl. fly ash</c:v>
                </c:pt>
                <c:pt idx="1">
                  <c:v>2010/11 incl. fly ash</c:v>
                </c:pt>
              </c:strCache>
            </c:strRef>
          </c:cat>
          <c:val>
            <c:numRef>
              <c:f>(Tas!$BK$10,Tas!$BM$10)</c:f>
              <c:numCache>
                <c:formatCode>#,##0</c:formatCode>
                <c:ptCount val="2"/>
                <c:pt idx="0">
                  <c:v>405.71007966823214</c:v>
                </c:pt>
                <c:pt idx="1">
                  <c:v>405.71007966823214</c:v>
                </c:pt>
              </c:numCache>
            </c:numRef>
          </c:val>
        </c:ser>
        <c:ser>
          <c:idx val="1"/>
          <c:order val="1"/>
          <c:tx>
            <c:strRef>
              <c:f>Tas!$BG$11</c:f>
              <c:strCache>
                <c:ptCount val="1"/>
                <c:pt idx="0">
                  <c:v>Recycling</c:v>
                </c:pt>
              </c:strCache>
            </c:strRef>
          </c:tx>
          <c:spPr>
            <a:solidFill>
              <a:srgbClr val="FFCC00"/>
            </a:solidFill>
          </c:spPr>
          <c:dLbls>
            <c:showVal val="1"/>
          </c:dLbls>
          <c:cat>
            <c:strRef>
              <c:f>(Tas!$BH$7,Tas!$BM$7)</c:f>
              <c:strCache>
                <c:ptCount val="2"/>
                <c:pt idx="0">
                  <c:v>2010/11 excl. fly ash</c:v>
                </c:pt>
                <c:pt idx="1">
                  <c:v>2010/11 incl. fly ash</c:v>
                </c:pt>
              </c:strCache>
            </c:strRef>
          </c:cat>
          <c:val>
            <c:numRef>
              <c:f>(Tas!$BK$11,Tas!$BM$11)</c:f>
              <c:numCache>
                <c:formatCode>#,##0</c:formatCode>
                <c:ptCount val="2"/>
                <c:pt idx="0">
                  <c:v>156.87599999999998</c:v>
                </c:pt>
                <c:pt idx="1">
                  <c:v>156.87599999999998</c:v>
                </c:pt>
              </c:numCache>
            </c:numRef>
          </c:val>
        </c:ser>
        <c:ser>
          <c:idx val="2"/>
          <c:order val="2"/>
          <c:tx>
            <c:strRef>
              <c:f>Tas!$BG$12</c:f>
              <c:strCache>
                <c:ptCount val="1"/>
                <c:pt idx="0">
                  <c:v>Energy recovery</c:v>
                </c:pt>
              </c:strCache>
            </c:strRef>
          </c:tx>
          <c:spPr>
            <a:solidFill>
              <a:schemeClr val="accent6">
                <a:lumMod val="75000"/>
              </a:schemeClr>
            </a:solidFill>
          </c:spPr>
          <c:dLbls>
            <c:dLbl>
              <c:idx val="0"/>
              <c:layout>
                <c:manualLayout>
                  <c:x val="-2.1371375521569907E-7"/>
                  <c:y val="9.2753640123910096E-3"/>
                </c:manualLayout>
              </c:layout>
              <c:showVal val="1"/>
            </c:dLbl>
            <c:dLbl>
              <c:idx val="1"/>
              <c:layout>
                <c:manualLayout>
                  <c:x val="-2.1371375521569907E-7"/>
                  <c:y val="9.2753640123910547E-3"/>
                </c:manualLayout>
              </c:layout>
              <c:showVal val="1"/>
            </c:dLbl>
            <c:showVal val="1"/>
          </c:dLbls>
          <c:cat>
            <c:strRef>
              <c:f>(Tas!$BH$7,Tas!$BM$7)</c:f>
              <c:strCache>
                <c:ptCount val="2"/>
                <c:pt idx="0">
                  <c:v>2010/11 excl. fly ash</c:v>
                </c:pt>
                <c:pt idx="1">
                  <c:v>2010/11 incl. fly ash</c:v>
                </c:pt>
              </c:strCache>
            </c:strRef>
          </c:cat>
          <c:val>
            <c:numRef>
              <c:f>(Tas!$BK$12,Tas!$BM$12)</c:f>
              <c:numCache>
                <c:formatCode>#,##0</c:formatCode>
                <c:ptCount val="2"/>
                <c:pt idx="0">
                  <c:v>39.842053713452579</c:v>
                </c:pt>
                <c:pt idx="1">
                  <c:v>39.842053713452579</c:v>
                </c:pt>
              </c:numCache>
            </c:numRef>
          </c:val>
        </c:ser>
        <c:ser>
          <c:idx val="3"/>
          <c:order val="3"/>
          <c:tx>
            <c:strRef>
              <c:f>Tas!$BG$13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(Tas!$BH$7,Tas!$BM$7)</c:f>
              <c:strCache>
                <c:ptCount val="2"/>
                <c:pt idx="0">
                  <c:v>2010/11 excl. fly ash</c:v>
                </c:pt>
                <c:pt idx="1">
                  <c:v>2010/11 incl. fly ash</c:v>
                </c:pt>
              </c:strCache>
            </c:strRef>
          </c:cat>
          <c:val>
            <c:numRef>
              <c:f>(Tas!$BK$13,Tas!$BM$13)</c:f>
              <c:numCache>
                <c:formatCode>0%</c:formatCode>
                <c:ptCount val="2"/>
                <c:pt idx="0">
                  <c:v>0.32654194386505597</c:v>
                </c:pt>
                <c:pt idx="1">
                  <c:v>0.32654194386505597</c:v>
                </c:pt>
              </c:numCache>
            </c:numRef>
          </c:val>
        </c:ser>
        <c:dLbls/>
        <c:overlap val="100"/>
        <c:axId val="101303040"/>
        <c:axId val="101304576"/>
      </c:barChart>
      <c:catAx>
        <c:axId val="101303040"/>
        <c:scaling>
          <c:orientation val="minMax"/>
        </c:scaling>
        <c:axPos val="b"/>
        <c:majorTickMark val="none"/>
        <c:tickLblPos val="nextTo"/>
        <c:crossAx val="101304576"/>
        <c:crosses val="autoZero"/>
        <c:auto val="1"/>
        <c:lblAlgn val="ctr"/>
        <c:lblOffset val="100"/>
      </c:catAx>
      <c:valAx>
        <c:axId val="101304576"/>
        <c:scaling>
          <c:orientation val="minMax"/>
        </c:scaling>
        <c:axPos val="l"/>
        <c:majorGridlines/>
        <c:title>
          <c:tx>
            <c:rich>
              <a:bodyPr rot="-5400000" vert="horz"/>
              <a:lstStyle/>
              <a:p>
                <a:pPr>
                  <a:defRPr/>
                </a:pPr>
                <a:r>
                  <a:rPr lang="en-US"/>
                  <a:t>Thousands of tonnes</a:t>
                </a:r>
              </a:p>
            </c:rich>
          </c:tx>
          <c:layout>
            <c:manualLayout>
              <c:xMode val="edge"/>
              <c:yMode val="edge"/>
              <c:x val="2.3249919429915136E-2"/>
              <c:y val="0.25832765186856632"/>
            </c:manualLayout>
          </c:layout>
        </c:title>
        <c:numFmt formatCode="#,##0" sourceLinked="1"/>
        <c:tickLblPos val="nextTo"/>
        <c:spPr>
          <a:ln>
            <a:noFill/>
          </a:ln>
        </c:spPr>
        <c:crossAx val="101303040"/>
        <c:crosses val="autoZero"/>
        <c:crossBetween val="between"/>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56"/>
          <c:y val="0.16317884983295219"/>
          <c:w val="0.78381714785651757"/>
          <c:h val="0.72063954730382318"/>
        </c:manualLayout>
      </c:layout>
      <c:barChart>
        <c:barDir val="col"/>
        <c:grouping val="stacked"/>
        <c:ser>
          <c:idx val="0"/>
          <c:order val="0"/>
          <c:tx>
            <c:strRef>
              <c:f>Tas!$BG$10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Tas!$BH$9:$BJ$9</c:f>
              <c:strCache>
                <c:ptCount val="3"/>
                <c:pt idx="0">
                  <c:v>MSW</c:v>
                </c:pt>
                <c:pt idx="1">
                  <c:v>C&amp;I</c:v>
                </c:pt>
                <c:pt idx="2">
                  <c:v>C&amp;D</c:v>
                </c:pt>
              </c:strCache>
            </c:strRef>
          </c:cat>
          <c:val>
            <c:numRef>
              <c:f>Tas!$BH$10:$BJ$10</c:f>
              <c:numCache>
                <c:formatCode>#,##0</c:formatCode>
                <c:ptCount val="3"/>
                <c:pt idx="0">
                  <c:v>154.14175310174033</c:v>
                </c:pt>
                <c:pt idx="1">
                  <c:v>213.371456364012</c:v>
                </c:pt>
                <c:pt idx="2">
                  <c:v>38.196870202479857</c:v>
                </c:pt>
              </c:numCache>
            </c:numRef>
          </c:val>
        </c:ser>
        <c:ser>
          <c:idx val="1"/>
          <c:order val="1"/>
          <c:tx>
            <c:strRef>
              <c:f>Tas!$BG$11</c:f>
              <c:strCache>
                <c:ptCount val="1"/>
                <c:pt idx="0">
                  <c:v>Recycling</c:v>
                </c:pt>
              </c:strCache>
            </c:strRef>
          </c:tx>
          <c:spPr>
            <a:solidFill>
              <a:srgbClr val="FFCC00"/>
            </a:solidFill>
          </c:spPr>
          <c:dLbls>
            <c:showVal val="1"/>
          </c:dLbls>
          <c:cat>
            <c:strRef>
              <c:f>Tas!$BH$9:$BJ$9</c:f>
              <c:strCache>
                <c:ptCount val="3"/>
                <c:pt idx="0">
                  <c:v>MSW</c:v>
                </c:pt>
                <c:pt idx="1">
                  <c:v>C&amp;I</c:v>
                </c:pt>
                <c:pt idx="2">
                  <c:v>C&amp;D</c:v>
                </c:pt>
              </c:strCache>
            </c:strRef>
          </c:cat>
          <c:val>
            <c:numRef>
              <c:f>Tas!$BH$11:$BJ$11</c:f>
              <c:numCache>
                <c:formatCode>#,##0</c:formatCode>
                <c:ptCount val="3"/>
                <c:pt idx="0">
                  <c:v>86.334668315888266</c:v>
                </c:pt>
                <c:pt idx="1">
                  <c:v>70.541331684111711</c:v>
                </c:pt>
                <c:pt idx="2">
                  <c:v>0</c:v>
                </c:pt>
              </c:numCache>
            </c:numRef>
          </c:val>
        </c:ser>
        <c:ser>
          <c:idx val="2"/>
          <c:order val="2"/>
          <c:tx>
            <c:strRef>
              <c:f>Tas!$BG$12</c:f>
              <c:strCache>
                <c:ptCount val="1"/>
                <c:pt idx="0">
                  <c:v>Energy recovery</c:v>
                </c:pt>
              </c:strCache>
            </c:strRef>
          </c:tx>
          <c:spPr>
            <a:solidFill>
              <a:schemeClr val="accent6">
                <a:lumMod val="75000"/>
              </a:schemeClr>
            </a:solidFill>
          </c:spPr>
          <c:dLbls>
            <c:showVal val="1"/>
          </c:dLbls>
          <c:cat>
            <c:strRef>
              <c:f>Tas!$BH$9:$BJ$9</c:f>
              <c:strCache>
                <c:ptCount val="3"/>
                <c:pt idx="0">
                  <c:v>MSW</c:v>
                </c:pt>
                <c:pt idx="1">
                  <c:v>C&amp;I</c:v>
                </c:pt>
                <c:pt idx="2">
                  <c:v>C&amp;D</c:v>
                </c:pt>
              </c:strCache>
            </c:strRef>
          </c:cat>
          <c:val>
            <c:numRef>
              <c:f>Tas!$BH$12:$BJ$12</c:f>
              <c:numCache>
                <c:formatCode>#,##0</c:formatCode>
                <c:ptCount val="3"/>
                <c:pt idx="0">
                  <c:v>17.270246898259689</c:v>
                </c:pt>
                <c:pt idx="1">
                  <c:v>21.984543635987972</c:v>
                </c:pt>
                <c:pt idx="2">
                  <c:v>0.5872631792049221</c:v>
                </c:pt>
              </c:numCache>
            </c:numRef>
          </c:val>
        </c:ser>
        <c:ser>
          <c:idx val="3"/>
          <c:order val="3"/>
          <c:tx>
            <c:strRef>
              <c:f>Tas!$BG$13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442E-17"/>
                  <c:y val="-4.6376820061955051E-2"/>
                </c:manualLayout>
              </c:layout>
              <c:showVal val="1"/>
            </c:dLbl>
            <c:showVal val="1"/>
          </c:dLbls>
          <c:cat>
            <c:strRef>
              <c:f>Tas!$BH$9:$BJ$9</c:f>
              <c:strCache>
                <c:ptCount val="3"/>
                <c:pt idx="0">
                  <c:v>MSW</c:v>
                </c:pt>
                <c:pt idx="1">
                  <c:v>C&amp;I</c:v>
                </c:pt>
                <c:pt idx="2">
                  <c:v>C&amp;D</c:v>
                </c:pt>
              </c:strCache>
            </c:strRef>
          </c:cat>
          <c:val>
            <c:numRef>
              <c:f>Tas!$BH$13:$BJ$13</c:f>
              <c:numCache>
                <c:formatCode>0%</c:formatCode>
                <c:ptCount val="3"/>
                <c:pt idx="0">
                  <c:v>0.40196412970573175</c:v>
                </c:pt>
                <c:pt idx="1">
                  <c:v>0.30247362672534706</c:v>
                </c:pt>
                <c:pt idx="2">
                  <c:v>1.5141840954018795E-2</c:v>
                </c:pt>
              </c:numCache>
            </c:numRef>
          </c:val>
        </c:ser>
        <c:dLbls/>
        <c:overlap val="100"/>
        <c:axId val="101353728"/>
        <c:axId val="101453824"/>
      </c:barChart>
      <c:catAx>
        <c:axId val="101353728"/>
        <c:scaling>
          <c:orientation val="minMax"/>
        </c:scaling>
        <c:axPos val="b"/>
        <c:majorTickMark val="none"/>
        <c:tickLblPos val="nextTo"/>
        <c:crossAx val="101453824"/>
        <c:crosses val="autoZero"/>
        <c:auto val="1"/>
        <c:lblAlgn val="ctr"/>
        <c:lblOffset val="100"/>
      </c:catAx>
      <c:valAx>
        <c:axId val="101453824"/>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45"/>
            </c:manualLayout>
          </c:layout>
        </c:title>
        <c:numFmt formatCode="#,##0" sourceLinked="1"/>
        <c:tickLblPos val="nextTo"/>
        <c:spPr>
          <a:ln>
            <a:noFill/>
          </a:ln>
        </c:spPr>
        <c:crossAx val="101353728"/>
        <c:crosses val="autoZero"/>
        <c:crossBetween val="between"/>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ACT!$BU$43</c:f>
              <c:strCache>
                <c:ptCount val="1"/>
                <c:pt idx="0">
                  <c:v>Disposal</c:v>
                </c:pt>
              </c:strCache>
            </c:strRef>
          </c:tx>
          <c:spPr>
            <a:solidFill>
              <a:srgbClr val="C0504D">
                <a:lumMod val="75000"/>
              </a:srgbClr>
            </a:solidFill>
          </c:spPr>
          <c:cat>
            <c:strRef>
              <c:f>ACT!$BV$42:$BZ$42</c:f>
              <c:strCache>
                <c:ptCount val="5"/>
                <c:pt idx="0">
                  <c:v>06/07</c:v>
                </c:pt>
                <c:pt idx="1">
                  <c:v>07/08</c:v>
                </c:pt>
                <c:pt idx="2">
                  <c:v>08/09</c:v>
                </c:pt>
                <c:pt idx="3">
                  <c:v>09/10</c:v>
                </c:pt>
                <c:pt idx="4">
                  <c:v>10/11</c:v>
                </c:pt>
              </c:strCache>
            </c:strRef>
          </c:cat>
          <c:val>
            <c:numRef>
              <c:f>ACT!$BV$43:$BZ$43</c:f>
              <c:numCache>
                <c:formatCode>#,##0.00</c:formatCode>
                <c:ptCount val="5"/>
                <c:pt idx="0">
                  <c:v>0.46939225286816827</c:v>
                </c:pt>
                <c:pt idx="1">
                  <c:v>0.4514809752272701</c:v>
                </c:pt>
                <c:pt idx="2">
                  <c:v>0.43356969758637193</c:v>
                </c:pt>
                <c:pt idx="3">
                  <c:v>0.41423964077645142</c:v>
                </c:pt>
                <c:pt idx="4">
                  <c:v>0.54382893432813761</c:v>
                </c:pt>
              </c:numCache>
            </c:numRef>
          </c:val>
        </c:ser>
        <c:ser>
          <c:idx val="1"/>
          <c:order val="1"/>
          <c:tx>
            <c:strRef>
              <c:f>ACT!$BU$44</c:f>
              <c:strCache>
                <c:ptCount val="1"/>
                <c:pt idx="0">
                  <c:v>Recycling</c:v>
                </c:pt>
              </c:strCache>
            </c:strRef>
          </c:tx>
          <c:spPr>
            <a:solidFill>
              <a:srgbClr val="FFCC00"/>
            </a:solidFill>
          </c:spPr>
          <c:cat>
            <c:strRef>
              <c:f>ACT!$BV$42:$BZ$42</c:f>
              <c:strCache>
                <c:ptCount val="5"/>
                <c:pt idx="0">
                  <c:v>06/07</c:v>
                </c:pt>
                <c:pt idx="1">
                  <c:v>07/08</c:v>
                </c:pt>
                <c:pt idx="2">
                  <c:v>08/09</c:v>
                </c:pt>
                <c:pt idx="3">
                  <c:v>09/10</c:v>
                </c:pt>
                <c:pt idx="4">
                  <c:v>10/11</c:v>
                </c:pt>
              </c:strCache>
            </c:strRef>
          </c:cat>
          <c:val>
            <c:numRef>
              <c:f>ACT!$BV$44:$BZ$44</c:f>
              <c:numCache>
                <c:formatCode>#,##0.00</c:formatCode>
                <c:ptCount val="5"/>
                <c:pt idx="0">
                  <c:v>1.592193607781289</c:v>
                </c:pt>
                <c:pt idx="1">
                  <c:v>1.5878197168562749</c:v>
                </c:pt>
                <c:pt idx="2">
                  <c:v>1.5834458259312607</c:v>
                </c:pt>
                <c:pt idx="3">
                  <c:v>1.5634484514478553</c:v>
                </c:pt>
                <c:pt idx="4">
                  <c:v>1.9303146472433077</c:v>
                </c:pt>
              </c:numCache>
            </c:numRef>
          </c:val>
        </c:ser>
        <c:ser>
          <c:idx val="2"/>
          <c:order val="2"/>
          <c:tx>
            <c:strRef>
              <c:f>ACT!$BU$45</c:f>
              <c:strCache>
                <c:ptCount val="1"/>
                <c:pt idx="0">
                  <c:v>Energy recovery</c:v>
                </c:pt>
              </c:strCache>
            </c:strRef>
          </c:tx>
          <c:spPr>
            <a:solidFill>
              <a:schemeClr val="accent6">
                <a:lumMod val="75000"/>
              </a:schemeClr>
            </a:solidFill>
          </c:spPr>
          <c:cat>
            <c:strRef>
              <c:f>ACT!$BV$42:$BZ$42</c:f>
              <c:strCache>
                <c:ptCount val="5"/>
                <c:pt idx="0">
                  <c:v>06/07</c:v>
                </c:pt>
                <c:pt idx="1">
                  <c:v>07/08</c:v>
                </c:pt>
                <c:pt idx="2">
                  <c:v>08/09</c:v>
                </c:pt>
                <c:pt idx="3">
                  <c:v>09/10</c:v>
                </c:pt>
                <c:pt idx="4">
                  <c:v>10/11</c:v>
                </c:pt>
              </c:strCache>
            </c:strRef>
          </c:cat>
          <c:val>
            <c:numRef>
              <c:f>ACT!$BV$45:$BZ$45</c:f>
              <c:numCache>
                <c:formatCode>#,##0.00</c:formatCode>
                <c:ptCount val="5"/>
                <c:pt idx="0">
                  <c:v>0.1107910777428978</c:v>
                </c:pt>
                <c:pt idx="1">
                  <c:v>9.9535364028843748E-2</c:v>
                </c:pt>
                <c:pt idx="2">
                  <c:v>8.8279650314789709E-2</c:v>
                </c:pt>
                <c:pt idx="3">
                  <c:v>8.2865054647404041E-2</c:v>
                </c:pt>
                <c:pt idx="4">
                  <c:v>8.5683190337686829E-2</c:v>
                </c:pt>
              </c:numCache>
            </c:numRef>
          </c:val>
        </c:ser>
        <c:dLbls/>
        <c:axId val="52669440"/>
        <c:axId val="52671232"/>
      </c:areaChart>
      <c:catAx>
        <c:axId val="52669440"/>
        <c:scaling>
          <c:orientation val="minMax"/>
        </c:scaling>
        <c:axPos val="b"/>
        <c:tickLblPos val="nextTo"/>
        <c:crossAx val="52671232"/>
        <c:crosses val="autoZero"/>
        <c:auto val="1"/>
        <c:lblAlgn val="ctr"/>
        <c:lblOffset val="100"/>
      </c:catAx>
      <c:valAx>
        <c:axId val="52671232"/>
        <c:scaling>
          <c:orientation val="minMax"/>
          <c:min val="0"/>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spPr>
          <a:ln>
            <a:noFill/>
          </a:ln>
        </c:spPr>
        <c:crossAx val="52669440"/>
        <c:crosses val="autoZero"/>
        <c:crossBetween val="midCat"/>
      </c:valAx>
    </c:plotArea>
    <c:legend>
      <c:legendPos val="t"/>
    </c:legend>
    <c:plotVisOnly val="1"/>
    <c:dispBlanksAs val="zero"/>
  </c:chart>
  <c:spPr>
    <a:ln>
      <a:noFill/>
    </a:ln>
  </c:spPr>
  <c:printSettings>
    <c:headerFooter/>
    <c:pageMargins b="0.75000000000000555" l="0.70000000000000062" r="0.70000000000000062" t="0.7500000000000055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23"/>
        </c:manualLayout>
      </c:layout>
      <c:barChart>
        <c:barDir val="col"/>
        <c:grouping val="stacked"/>
        <c:ser>
          <c:idx val="0"/>
          <c:order val="0"/>
          <c:tx>
            <c:strRef>
              <c:f>Tas!$BH$22</c:f>
              <c:strCache>
                <c:ptCount val="1"/>
                <c:pt idx="0">
                  <c:v>Disposal</c:v>
                </c:pt>
              </c:strCache>
            </c:strRef>
          </c:tx>
          <c:spPr>
            <a:solidFill>
              <a:schemeClr val="accent2">
                <a:lumMod val="75000"/>
              </a:schemeClr>
            </a:solidFill>
          </c:spPr>
          <c:cat>
            <c:strRef>
              <c:f>Tas!$BG$23:$BG$31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Tas!$BH$23:$BH$31</c:f>
              <c:numCache>
                <c:formatCode>#,##0</c:formatCode>
                <c:ptCount val="9"/>
                <c:pt idx="0">
                  <c:v>39.834563348979891</c:v>
                </c:pt>
                <c:pt idx="1">
                  <c:v>14.557115633997098</c:v>
                </c:pt>
                <c:pt idx="2">
                  <c:v>170.64238473663917</c:v>
                </c:pt>
                <c:pt idx="3">
                  <c:v>73.276700997272457</c:v>
                </c:pt>
                <c:pt idx="4">
                  <c:v>52.086596835156584</c:v>
                </c:pt>
                <c:pt idx="5">
                  <c:v>10.643726486301077</c:v>
                </c:pt>
                <c:pt idx="6">
                  <c:v>9.0435807842315885</c:v>
                </c:pt>
                <c:pt idx="7">
                  <c:v>35.625410845654287</c:v>
                </c:pt>
                <c:pt idx="8">
                  <c:v>0</c:v>
                </c:pt>
              </c:numCache>
            </c:numRef>
          </c:val>
        </c:ser>
        <c:ser>
          <c:idx val="1"/>
          <c:order val="1"/>
          <c:tx>
            <c:strRef>
              <c:f>Tas!$BI$22</c:f>
              <c:strCache>
                <c:ptCount val="1"/>
                <c:pt idx="0">
                  <c:v>Recycling</c:v>
                </c:pt>
              </c:strCache>
            </c:strRef>
          </c:tx>
          <c:spPr>
            <a:solidFill>
              <a:srgbClr val="FFCC00"/>
            </a:solidFill>
          </c:spPr>
          <c:cat>
            <c:strRef>
              <c:f>Tas!$BG$23:$BG$31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Tas!$BI$23:$BI$31</c:f>
              <c:numCache>
                <c:formatCode>#,##0</c:formatCode>
                <c:ptCount val="9"/>
                <c:pt idx="0">
                  <c:v>2.7727140033419619</c:v>
                </c:pt>
                <c:pt idx="1">
                  <c:v>12.504589322333464</c:v>
                </c:pt>
                <c:pt idx="2">
                  <c:v>43.930999999999997</c:v>
                </c:pt>
                <c:pt idx="3">
                  <c:v>76.656198560206747</c:v>
                </c:pt>
                <c:pt idx="4">
                  <c:v>3.5569999999999995</c:v>
                </c:pt>
                <c:pt idx="5">
                  <c:v>16.955236317285532</c:v>
                </c:pt>
                <c:pt idx="6">
                  <c:v>0.49926179683226857</c:v>
                </c:pt>
                <c:pt idx="7">
                  <c:v>0</c:v>
                </c:pt>
                <c:pt idx="8">
                  <c:v>0</c:v>
                </c:pt>
              </c:numCache>
            </c:numRef>
          </c:val>
        </c:ser>
        <c:ser>
          <c:idx val="2"/>
          <c:order val="2"/>
          <c:tx>
            <c:strRef>
              <c:f>Tas!$BJ$22</c:f>
              <c:strCache>
                <c:ptCount val="1"/>
                <c:pt idx="0">
                  <c:v>Energy recovery</c:v>
                </c:pt>
              </c:strCache>
            </c:strRef>
          </c:tx>
          <c:spPr>
            <a:solidFill>
              <a:schemeClr val="accent6">
                <a:lumMod val="75000"/>
              </a:schemeClr>
            </a:solidFill>
          </c:spPr>
          <c:cat>
            <c:strRef>
              <c:f>Tas!$BG$23:$BG$31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Tas!$BJ$23:$BJ$31</c:f>
              <c:numCache>
                <c:formatCode>#,##0</c:formatCode>
                <c:ptCount val="9"/>
                <c:pt idx="0">
                  <c:v>0</c:v>
                </c:pt>
                <c:pt idx="1">
                  <c:v>0</c:v>
                </c:pt>
                <c:pt idx="2">
                  <c:v>29.67172240276086</c:v>
                </c:pt>
                <c:pt idx="3">
                  <c:v>9.0302359921324573</c:v>
                </c:pt>
                <c:pt idx="4">
                  <c:v>0</c:v>
                </c:pt>
                <c:pt idx="5">
                  <c:v>0</c:v>
                </c:pt>
                <c:pt idx="6">
                  <c:v>1.1400953185592597</c:v>
                </c:pt>
                <c:pt idx="7">
                  <c:v>0</c:v>
                </c:pt>
                <c:pt idx="8">
                  <c:v>0</c:v>
                </c:pt>
              </c:numCache>
            </c:numRef>
          </c:val>
        </c:ser>
        <c:ser>
          <c:idx val="3"/>
          <c:order val="3"/>
          <c:tx>
            <c:strRef>
              <c:f>Tas!$BK$22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639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764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56E-2"/>
                </c:manualLayout>
              </c:layout>
              <c:showVal val="1"/>
            </c:dLbl>
            <c:showVal val="1"/>
          </c:dLbls>
          <c:cat>
            <c:strRef>
              <c:f>Tas!$BG$23:$BG$31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Tas!$BK$23:$BK$31</c:f>
              <c:numCache>
                <c:formatCode>0%</c:formatCode>
                <c:ptCount val="9"/>
                <c:pt idx="0">
                  <c:v>6.5076066241319341E-2</c:v>
                </c:pt>
                <c:pt idx="1">
                  <c:v>0.46207692170586084</c:v>
                </c:pt>
                <c:pt idx="2">
                  <c:v>0.30134778651165761</c:v>
                </c:pt>
                <c:pt idx="3">
                  <c:v>0.53903336931597501</c:v>
                </c:pt>
                <c:pt idx="4">
                  <c:v>6.392469578373168E-2</c:v>
                </c:pt>
                <c:pt idx="5">
                  <c:v>0.61434324318456357</c:v>
                </c:pt>
                <c:pt idx="6">
                  <c:v>0.15345564401805267</c:v>
                </c:pt>
                <c:pt idx="7">
                  <c:v>0</c:v>
                </c:pt>
                <c:pt idx="8">
                  <c:v>0</c:v>
                </c:pt>
              </c:numCache>
            </c:numRef>
          </c:val>
        </c:ser>
        <c:dLbls/>
        <c:overlap val="100"/>
        <c:axId val="101489280"/>
        <c:axId val="101511552"/>
      </c:barChart>
      <c:catAx>
        <c:axId val="101489280"/>
        <c:scaling>
          <c:orientation val="minMax"/>
        </c:scaling>
        <c:axPos val="b"/>
        <c:majorTickMark val="none"/>
        <c:tickLblPos val="nextTo"/>
        <c:crossAx val="101511552"/>
        <c:crosses val="autoZero"/>
        <c:auto val="1"/>
        <c:lblAlgn val="ctr"/>
        <c:lblOffset val="100"/>
      </c:catAx>
      <c:valAx>
        <c:axId val="101511552"/>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68"/>
            </c:manualLayout>
          </c:layout>
        </c:title>
        <c:numFmt formatCode="#,##0" sourceLinked="1"/>
        <c:tickLblPos val="nextTo"/>
        <c:spPr>
          <a:ln>
            <a:noFill/>
          </a:ln>
        </c:spPr>
        <c:crossAx val="101489280"/>
        <c:crosses val="autoZero"/>
        <c:crossBetween val="between"/>
      </c:valAx>
    </c:plotArea>
    <c:legend>
      <c:legendPos val="t"/>
      <c:legendEntry>
        <c:idx val="3"/>
        <c:delete val="1"/>
      </c:legendEntry>
    </c:legend>
    <c:plotVisOnly val="1"/>
    <c:dispBlanksAs val="gap"/>
  </c:chart>
  <c:spPr>
    <a:ln>
      <a:noFill/>
    </a:ln>
  </c:spPr>
  <c:printSettings>
    <c:headerFooter/>
    <c:pageMargins b="0.75000000000000944" l="0.70000000000000062" r="0.70000000000000062" t="0.75000000000000944"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Tas!$BU$43</c:f>
              <c:strCache>
                <c:ptCount val="1"/>
                <c:pt idx="0">
                  <c:v>Disposal</c:v>
                </c:pt>
              </c:strCache>
            </c:strRef>
          </c:tx>
          <c:spPr>
            <a:solidFill>
              <a:srgbClr val="C0504D">
                <a:lumMod val="75000"/>
              </a:srgbClr>
            </a:solidFill>
          </c:spPr>
          <c:cat>
            <c:strRef>
              <c:f>Tas!$BV$42:$BZ$42</c:f>
              <c:strCache>
                <c:ptCount val="5"/>
                <c:pt idx="0">
                  <c:v>06/07</c:v>
                </c:pt>
                <c:pt idx="1">
                  <c:v>07/08</c:v>
                </c:pt>
                <c:pt idx="2">
                  <c:v>08/09</c:v>
                </c:pt>
                <c:pt idx="3">
                  <c:v>09/10</c:v>
                </c:pt>
                <c:pt idx="4">
                  <c:v>10/11</c:v>
                </c:pt>
              </c:strCache>
            </c:strRef>
          </c:cat>
          <c:val>
            <c:numRef>
              <c:f>Tas!$BV$43:$BZ$43</c:f>
              <c:numCache>
                <c:formatCode>#,##0.00</c:formatCode>
                <c:ptCount val="5"/>
                <c:pt idx="0">
                  <c:v>0.83423658776161869</c:v>
                </c:pt>
                <c:pt idx="1">
                  <c:v>0.75871174846344691</c:v>
                </c:pt>
                <c:pt idx="2">
                  <c:v>0.68318690916527514</c:v>
                </c:pt>
                <c:pt idx="3">
                  <c:v>0.68656822181047639</c:v>
                </c:pt>
                <c:pt idx="4">
                  <c:v>0.79518448021174115</c:v>
                </c:pt>
              </c:numCache>
            </c:numRef>
          </c:val>
        </c:ser>
        <c:ser>
          <c:idx val="1"/>
          <c:order val="1"/>
          <c:tx>
            <c:strRef>
              <c:f>Tas!$BU$44</c:f>
              <c:strCache>
                <c:ptCount val="1"/>
                <c:pt idx="0">
                  <c:v>Recycling</c:v>
                </c:pt>
              </c:strCache>
            </c:strRef>
          </c:tx>
          <c:spPr>
            <a:solidFill>
              <a:srgbClr val="FFCC00"/>
            </a:solidFill>
          </c:spPr>
          <c:cat>
            <c:strRef>
              <c:f>Tas!$BV$42:$BZ$42</c:f>
              <c:strCache>
                <c:ptCount val="5"/>
                <c:pt idx="0">
                  <c:v>06/07</c:v>
                </c:pt>
                <c:pt idx="1">
                  <c:v>07/08</c:v>
                </c:pt>
                <c:pt idx="2">
                  <c:v>08/09</c:v>
                </c:pt>
                <c:pt idx="3">
                  <c:v>09/10</c:v>
                </c:pt>
                <c:pt idx="4">
                  <c:v>10/11</c:v>
                </c:pt>
              </c:strCache>
            </c:strRef>
          </c:cat>
          <c:val>
            <c:numRef>
              <c:f>Tas!$BV$44:$BZ$44</c:f>
              <c:numCache>
                <c:formatCode>#,##0.00</c:formatCode>
                <c:ptCount val="5"/>
                <c:pt idx="0">
                  <c:v>0.16296180035372052</c:v>
                </c:pt>
                <c:pt idx="1">
                  <c:v>0.19346942059996719</c:v>
                </c:pt>
                <c:pt idx="2">
                  <c:v>0.22397704084621389</c:v>
                </c:pt>
                <c:pt idx="3">
                  <c:v>0.27060205806014365</c:v>
                </c:pt>
                <c:pt idx="4">
                  <c:v>0.30747414661155842</c:v>
                </c:pt>
              </c:numCache>
            </c:numRef>
          </c:val>
        </c:ser>
        <c:ser>
          <c:idx val="2"/>
          <c:order val="2"/>
          <c:tx>
            <c:strRef>
              <c:f>Tas!$BU$45</c:f>
              <c:strCache>
                <c:ptCount val="1"/>
                <c:pt idx="0">
                  <c:v>Energy recovery</c:v>
                </c:pt>
              </c:strCache>
            </c:strRef>
          </c:tx>
          <c:spPr>
            <a:solidFill>
              <a:schemeClr val="accent6">
                <a:lumMod val="75000"/>
              </a:schemeClr>
            </a:solidFill>
          </c:spPr>
          <c:cat>
            <c:strRef>
              <c:f>Tas!$BV$42:$BZ$42</c:f>
              <c:strCache>
                <c:ptCount val="5"/>
                <c:pt idx="0">
                  <c:v>06/07</c:v>
                </c:pt>
                <c:pt idx="1">
                  <c:v>07/08</c:v>
                </c:pt>
                <c:pt idx="2">
                  <c:v>08/09</c:v>
                </c:pt>
                <c:pt idx="3">
                  <c:v>09/10</c:v>
                </c:pt>
                <c:pt idx="4">
                  <c:v>10/11</c:v>
                </c:pt>
              </c:strCache>
            </c:strRef>
          </c:cat>
          <c:val>
            <c:numRef>
              <c:f>Tas!$BV$45:$BZ$45</c:f>
              <c:numCache>
                <c:formatCode>#,##0.00</c:formatCode>
                <c:ptCount val="5"/>
                <c:pt idx="0">
                  <c:v>7.4047920563116459E-2</c:v>
                </c:pt>
                <c:pt idx="1">
                  <c:v>8.8403591986033064E-2</c:v>
                </c:pt>
                <c:pt idx="2">
                  <c:v>0.10275926340894967</c:v>
                </c:pt>
                <c:pt idx="3">
                  <c:v>7.8859102517621474E-2</c:v>
                </c:pt>
                <c:pt idx="4">
                  <c:v>7.8089710757513614E-2</c:v>
                </c:pt>
              </c:numCache>
            </c:numRef>
          </c:val>
        </c:ser>
        <c:dLbls/>
        <c:axId val="101583872"/>
        <c:axId val="101589760"/>
      </c:areaChart>
      <c:catAx>
        <c:axId val="101583872"/>
        <c:scaling>
          <c:orientation val="minMax"/>
        </c:scaling>
        <c:axPos val="b"/>
        <c:tickLblPos val="nextTo"/>
        <c:crossAx val="101589760"/>
        <c:crosses val="autoZero"/>
        <c:auto val="1"/>
        <c:lblAlgn val="ctr"/>
        <c:lblOffset val="100"/>
      </c:catAx>
      <c:valAx>
        <c:axId val="101589760"/>
        <c:scaling>
          <c:orientation val="minMax"/>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101583872"/>
        <c:crosses val="autoZero"/>
        <c:crossBetween val="midCat"/>
      </c:valAx>
    </c:plotArea>
    <c:legend>
      <c:legendPos val="t"/>
    </c:legend>
    <c:plotVisOnly val="1"/>
    <c:dispBlanksAs val="zero"/>
  </c:chart>
  <c:spPr>
    <a:ln>
      <a:noFill/>
    </a:ln>
  </c:spPr>
  <c:printSettings>
    <c:headerFooter/>
    <c:pageMargins b="0.75000000000000555" l="0.70000000000000062" r="0.70000000000000062" t="0.7500000000000055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Tas!$BU$66</c:f>
              <c:strCache>
                <c:ptCount val="1"/>
                <c:pt idx="0">
                  <c:v>Disposal</c:v>
                </c:pt>
              </c:strCache>
            </c:strRef>
          </c:tx>
          <c:spPr>
            <a:solidFill>
              <a:srgbClr val="C0504D">
                <a:lumMod val="75000"/>
              </a:srgbClr>
            </a:solidFill>
          </c:spPr>
          <c:cat>
            <c:strRef>
              <c:f>Tas!$BV$65:$BZ$65</c:f>
              <c:strCache>
                <c:ptCount val="5"/>
                <c:pt idx="0">
                  <c:v>06/07</c:v>
                </c:pt>
                <c:pt idx="1">
                  <c:v>07/08</c:v>
                </c:pt>
                <c:pt idx="2">
                  <c:v>08/09</c:v>
                </c:pt>
                <c:pt idx="3">
                  <c:v>09/10</c:v>
                </c:pt>
                <c:pt idx="4">
                  <c:v>10/11</c:v>
                </c:pt>
              </c:strCache>
            </c:strRef>
          </c:cat>
          <c:val>
            <c:numRef>
              <c:f>Tas!$BV$66:$BZ$66</c:f>
              <c:numCache>
                <c:formatCode>#,##0</c:formatCode>
                <c:ptCount val="5"/>
                <c:pt idx="0">
                  <c:v>410.75286015704131</c:v>
                </c:pt>
                <c:pt idx="1">
                  <c:v>376.93994927701385</c:v>
                </c:pt>
                <c:pt idx="2">
                  <c:v>343.12703839698634</c:v>
                </c:pt>
                <c:pt idx="3">
                  <c:v>347.97783455364555</c:v>
                </c:pt>
                <c:pt idx="4">
                  <c:v>405.71007966823214</c:v>
                </c:pt>
              </c:numCache>
            </c:numRef>
          </c:val>
        </c:ser>
        <c:ser>
          <c:idx val="1"/>
          <c:order val="1"/>
          <c:tx>
            <c:strRef>
              <c:f>Tas!$BU$67</c:f>
              <c:strCache>
                <c:ptCount val="1"/>
                <c:pt idx="0">
                  <c:v>Recycling</c:v>
                </c:pt>
              </c:strCache>
            </c:strRef>
          </c:tx>
          <c:spPr>
            <a:solidFill>
              <a:srgbClr val="FFCC00"/>
            </a:solidFill>
          </c:spPr>
          <c:cat>
            <c:strRef>
              <c:f>Tas!$BV$65:$BZ$65</c:f>
              <c:strCache>
                <c:ptCount val="5"/>
                <c:pt idx="0">
                  <c:v>06/07</c:v>
                </c:pt>
                <c:pt idx="1">
                  <c:v>07/08</c:v>
                </c:pt>
                <c:pt idx="2">
                  <c:v>08/09</c:v>
                </c:pt>
                <c:pt idx="3">
                  <c:v>09/10</c:v>
                </c:pt>
                <c:pt idx="4">
                  <c:v>10/11</c:v>
                </c:pt>
              </c:strCache>
            </c:strRef>
          </c:cat>
          <c:val>
            <c:numRef>
              <c:f>Tas!$BV$67:$BZ$67</c:f>
              <c:numCache>
                <c:formatCode>#,##0</c:formatCode>
                <c:ptCount val="5"/>
                <c:pt idx="0">
                  <c:v>80.237460899711294</c:v>
                </c:pt>
                <c:pt idx="1">
                  <c:v>96.364376892628883</c:v>
                </c:pt>
                <c:pt idx="2">
                  <c:v>112.49129288554649</c:v>
                </c:pt>
                <c:pt idx="3">
                  <c:v>137.15100000000001</c:v>
                </c:pt>
                <c:pt idx="4">
                  <c:v>156.87599999999998</c:v>
                </c:pt>
              </c:numCache>
            </c:numRef>
          </c:val>
        </c:ser>
        <c:ser>
          <c:idx val="2"/>
          <c:order val="2"/>
          <c:tx>
            <c:strRef>
              <c:f>Tas!$BU$68</c:f>
              <c:strCache>
                <c:ptCount val="1"/>
                <c:pt idx="0">
                  <c:v>Energy recovery</c:v>
                </c:pt>
              </c:strCache>
            </c:strRef>
          </c:tx>
          <c:spPr>
            <a:solidFill>
              <a:schemeClr val="accent6">
                <a:lumMod val="75000"/>
              </a:schemeClr>
            </a:solidFill>
          </c:spPr>
          <c:cat>
            <c:strRef>
              <c:f>Tas!$BV$65:$BZ$65</c:f>
              <c:strCache>
                <c:ptCount val="5"/>
                <c:pt idx="0">
                  <c:v>06/07</c:v>
                </c:pt>
                <c:pt idx="1">
                  <c:v>07/08</c:v>
                </c:pt>
                <c:pt idx="2">
                  <c:v>08/09</c:v>
                </c:pt>
                <c:pt idx="3">
                  <c:v>09/10</c:v>
                </c:pt>
                <c:pt idx="4">
                  <c:v>10/11</c:v>
                </c:pt>
              </c:strCache>
            </c:strRef>
          </c:cat>
          <c:val>
            <c:numRef>
              <c:f>Tas!$BV$68:$BZ$68</c:f>
              <c:numCache>
                <c:formatCode>#,##0</c:formatCode>
                <c:ptCount val="5"/>
                <c:pt idx="0">
                  <c:v>36.458956135681511</c:v>
                </c:pt>
                <c:pt idx="1">
                  <c:v>44.034628348346793</c:v>
                </c:pt>
                <c:pt idx="2">
                  <c:v>51.610300561012075</c:v>
                </c:pt>
                <c:pt idx="3">
                  <c:v>39.968671513172453</c:v>
                </c:pt>
                <c:pt idx="4">
                  <c:v>39.842053713452579</c:v>
                </c:pt>
              </c:numCache>
            </c:numRef>
          </c:val>
        </c:ser>
        <c:dLbls/>
        <c:axId val="101624832"/>
        <c:axId val="101638912"/>
      </c:areaChart>
      <c:catAx>
        <c:axId val="101624832"/>
        <c:scaling>
          <c:orientation val="minMax"/>
        </c:scaling>
        <c:axPos val="b"/>
        <c:tickLblPos val="nextTo"/>
        <c:crossAx val="101638912"/>
        <c:crosses val="autoZero"/>
        <c:auto val="1"/>
        <c:lblAlgn val="ctr"/>
        <c:lblOffset val="100"/>
      </c:catAx>
      <c:valAx>
        <c:axId val="101638912"/>
        <c:scaling>
          <c:orientation val="minMax"/>
          <c:max val="600"/>
        </c:scaling>
        <c:axPos val="l"/>
        <c:majorGridlines/>
        <c:title>
          <c:tx>
            <c:rich>
              <a:bodyPr rot="-5400000" vert="horz"/>
              <a:lstStyle/>
              <a:p>
                <a:pPr>
                  <a:defRPr/>
                </a:pPr>
                <a:r>
                  <a:rPr lang="en-US"/>
                  <a:t>Thousands of tonnes</a:t>
                </a:r>
              </a:p>
            </c:rich>
          </c:tx>
        </c:title>
        <c:numFmt formatCode="#,##0" sourceLinked="0"/>
        <c:tickLblPos val="nextTo"/>
        <c:crossAx val="101624832"/>
        <c:crosses val="autoZero"/>
        <c:crossBetween val="midCat"/>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Tas!$BV$88</c:f>
              <c:strCache>
                <c:ptCount val="1"/>
                <c:pt idx="0">
                  <c:v>Disposal</c:v>
                </c:pt>
              </c:strCache>
            </c:strRef>
          </c:tx>
          <c:spPr>
            <a:solidFill>
              <a:srgbClr val="C0504D">
                <a:lumMod val="75000"/>
              </a:srgbClr>
            </a:solidFill>
          </c:spPr>
          <c:cat>
            <c:strRef>
              <c:f>Tas!$BU$89:$BU$93</c:f>
              <c:strCache>
                <c:ptCount val="5"/>
                <c:pt idx="0">
                  <c:v>06/07</c:v>
                </c:pt>
                <c:pt idx="1">
                  <c:v>07/08</c:v>
                </c:pt>
                <c:pt idx="2">
                  <c:v>08/09</c:v>
                </c:pt>
                <c:pt idx="3">
                  <c:v>09/10</c:v>
                </c:pt>
                <c:pt idx="4">
                  <c:v>10/11</c:v>
                </c:pt>
              </c:strCache>
            </c:strRef>
          </c:cat>
          <c:val>
            <c:numRef>
              <c:f>Tas!$BV$89:$BV$93</c:f>
              <c:numCache>
                <c:formatCode>#,##0</c:formatCode>
                <c:ptCount val="5"/>
                <c:pt idx="0">
                  <c:v>199.12737205525949</c:v>
                </c:pt>
                <c:pt idx="1">
                  <c:v>172.53040534059244</c:v>
                </c:pt>
                <c:pt idx="2">
                  <c:v>145.93343862592539</c:v>
                </c:pt>
                <c:pt idx="3">
                  <c:v>147.52742752279863</c:v>
                </c:pt>
                <c:pt idx="4">
                  <c:v>170.64238473663917</c:v>
                </c:pt>
              </c:numCache>
            </c:numRef>
          </c:val>
        </c:ser>
        <c:ser>
          <c:idx val="1"/>
          <c:order val="1"/>
          <c:tx>
            <c:strRef>
              <c:f>Tas!$BW$88</c:f>
              <c:strCache>
                <c:ptCount val="1"/>
                <c:pt idx="0">
                  <c:v>Recycling</c:v>
                </c:pt>
              </c:strCache>
            </c:strRef>
          </c:tx>
          <c:spPr>
            <a:solidFill>
              <a:srgbClr val="FFCC00"/>
            </a:solidFill>
          </c:spPr>
          <c:cat>
            <c:strRef>
              <c:f>Tas!$BU$89:$BU$93</c:f>
              <c:strCache>
                <c:ptCount val="5"/>
                <c:pt idx="0">
                  <c:v>06/07</c:v>
                </c:pt>
                <c:pt idx="1">
                  <c:v>07/08</c:v>
                </c:pt>
                <c:pt idx="2">
                  <c:v>08/09</c:v>
                </c:pt>
                <c:pt idx="3">
                  <c:v>09/10</c:v>
                </c:pt>
                <c:pt idx="4">
                  <c:v>10/11</c:v>
                </c:pt>
              </c:strCache>
            </c:strRef>
          </c:cat>
          <c:val>
            <c:numRef>
              <c:f>Tas!$BW$89:$BW$93</c:f>
              <c:numCache>
                <c:formatCode>#,##0</c:formatCode>
                <c:ptCount val="5"/>
                <c:pt idx="0">
                  <c:v>27.587</c:v>
                </c:pt>
                <c:pt idx="1">
                  <c:v>26.516500000000001</c:v>
                </c:pt>
                <c:pt idx="2">
                  <c:v>25.446000000000002</c:v>
                </c:pt>
                <c:pt idx="3">
                  <c:v>40.411000000000001</c:v>
                </c:pt>
                <c:pt idx="4">
                  <c:v>43.930999999999997</c:v>
                </c:pt>
              </c:numCache>
            </c:numRef>
          </c:val>
        </c:ser>
        <c:ser>
          <c:idx val="2"/>
          <c:order val="2"/>
          <c:tx>
            <c:strRef>
              <c:f>Tas!$BX$88</c:f>
              <c:strCache>
                <c:ptCount val="1"/>
                <c:pt idx="0">
                  <c:v>Energy recovery</c:v>
                </c:pt>
              </c:strCache>
            </c:strRef>
          </c:tx>
          <c:spPr>
            <a:solidFill>
              <a:schemeClr val="accent6">
                <a:lumMod val="75000"/>
              </a:schemeClr>
            </a:solidFill>
          </c:spPr>
          <c:cat>
            <c:strRef>
              <c:f>Tas!$BU$89:$BU$93</c:f>
              <c:strCache>
                <c:ptCount val="5"/>
                <c:pt idx="0">
                  <c:v>06/07</c:v>
                </c:pt>
                <c:pt idx="1">
                  <c:v>07/08</c:v>
                </c:pt>
                <c:pt idx="2">
                  <c:v>08/09</c:v>
                </c:pt>
                <c:pt idx="3">
                  <c:v>09/10</c:v>
                </c:pt>
                <c:pt idx="4">
                  <c:v>10/11</c:v>
                </c:pt>
              </c:strCache>
            </c:strRef>
          </c:cat>
          <c:val>
            <c:numRef>
              <c:f>Tas!$BX$89:$BX$93</c:f>
              <c:numCache>
                <c:formatCode>#,##0</c:formatCode>
                <c:ptCount val="5"/>
                <c:pt idx="0">
                  <c:v>25.96736393160803</c:v>
                </c:pt>
                <c:pt idx="1">
                  <c:v>30.524817619400473</c:v>
                </c:pt>
                <c:pt idx="2">
                  <c:v>35.082271307192912</c:v>
                </c:pt>
                <c:pt idx="3">
                  <c:v>29.892159701372812</c:v>
                </c:pt>
                <c:pt idx="4">
                  <c:v>29.67172240276086</c:v>
                </c:pt>
              </c:numCache>
            </c:numRef>
          </c:val>
        </c:ser>
        <c:dLbls/>
        <c:axId val="101661696"/>
        <c:axId val="101683968"/>
      </c:areaChart>
      <c:catAx>
        <c:axId val="101661696"/>
        <c:scaling>
          <c:orientation val="minMax"/>
        </c:scaling>
        <c:axPos val="b"/>
        <c:tickLblPos val="nextTo"/>
        <c:crossAx val="101683968"/>
        <c:crosses val="autoZero"/>
        <c:auto val="1"/>
        <c:lblAlgn val="ctr"/>
        <c:lblOffset val="100"/>
      </c:catAx>
      <c:valAx>
        <c:axId val="101683968"/>
        <c:scaling>
          <c:orientation val="minMax"/>
        </c:scaling>
        <c:axPos val="l"/>
        <c:majorGridlines/>
        <c:title>
          <c:tx>
            <c:rich>
              <a:bodyPr rot="-5400000" vert="horz"/>
              <a:lstStyle/>
              <a:p>
                <a:pPr>
                  <a:defRPr/>
                </a:pPr>
                <a:r>
                  <a:rPr lang="en-US"/>
                  <a:t>Thousands of tonnes</a:t>
                </a:r>
              </a:p>
            </c:rich>
          </c:tx>
          <c:layout>
            <c:manualLayout>
              <c:xMode val="edge"/>
              <c:yMode val="edge"/>
              <c:x val="1.9444444444444445E-2"/>
              <c:y val="0.30540422101846337"/>
            </c:manualLayout>
          </c:layout>
        </c:title>
        <c:numFmt formatCode="#,##0" sourceLinked="0"/>
        <c:tickLblPos val="nextTo"/>
        <c:crossAx val="101661696"/>
        <c:crosses val="autoZero"/>
        <c:crossBetween val="midCat"/>
      </c:valAx>
    </c:plotArea>
    <c:legend>
      <c:legendPos val="t"/>
    </c:legend>
    <c:plotVisOnly val="1"/>
    <c:dispBlanksAs val="zero"/>
  </c:chart>
  <c:spPr>
    <a:ln>
      <a:noFill/>
    </a:ln>
  </c:spPr>
  <c:printSettings>
    <c:headerFooter/>
    <c:pageMargins b="0.750000000000006" l="0.70000000000000062" r="0.70000000000000062" t="0.750000000000006"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9788785814083534"/>
          <c:y val="0.16317884983295219"/>
          <c:w val="0.77155663122134432"/>
          <c:h val="0.72063954730382163"/>
        </c:manualLayout>
      </c:layout>
      <c:barChart>
        <c:barDir val="col"/>
        <c:grouping val="stacked"/>
        <c:ser>
          <c:idx val="0"/>
          <c:order val="0"/>
          <c:tx>
            <c:strRef>
              <c:f>Vic!$BG$10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(Vic!$BH$7,Vic!$BM$7)</c:f>
              <c:strCache>
                <c:ptCount val="2"/>
                <c:pt idx="0">
                  <c:v>2010/11 excl. fly ash</c:v>
                </c:pt>
                <c:pt idx="1">
                  <c:v>2010/11 incl. fly ash</c:v>
                </c:pt>
              </c:strCache>
            </c:strRef>
          </c:cat>
          <c:val>
            <c:numRef>
              <c:f>(Vic!$BK$10,Vic!$BM$10)</c:f>
              <c:numCache>
                <c:formatCode>#,##0</c:formatCode>
                <c:ptCount val="2"/>
                <c:pt idx="0">
                  <c:v>4558.5433860114072</c:v>
                </c:pt>
                <c:pt idx="1">
                  <c:v>5463.4982050142426</c:v>
                </c:pt>
              </c:numCache>
            </c:numRef>
          </c:val>
        </c:ser>
        <c:ser>
          <c:idx val="1"/>
          <c:order val="1"/>
          <c:tx>
            <c:strRef>
              <c:f>Vic!$BG$11</c:f>
              <c:strCache>
                <c:ptCount val="1"/>
                <c:pt idx="0">
                  <c:v>Recycling</c:v>
                </c:pt>
              </c:strCache>
            </c:strRef>
          </c:tx>
          <c:spPr>
            <a:solidFill>
              <a:srgbClr val="FFCC00"/>
            </a:solidFill>
          </c:spPr>
          <c:dLbls>
            <c:showVal val="1"/>
          </c:dLbls>
          <c:cat>
            <c:strRef>
              <c:f>(Vic!$BH$7,Vic!$BM$7)</c:f>
              <c:strCache>
                <c:ptCount val="2"/>
                <c:pt idx="0">
                  <c:v>2010/11 excl. fly ash</c:v>
                </c:pt>
                <c:pt idx="1">
                  <c:v>2010/11 incl. fly ash</c:v>
                </c:pt>
              </c:strCache>
            </c:strRef>
          </c:cat>
          <c:val>
            <c:numRef>
              <c:f>(Vic!$BK$11,Vic!$BM$11)</c:f>
              <c:numCache>
                <c:formatCode>#,##0</c:formatCode>
                <c:ptCount val="2"/>
                <c:pt idx="0">
                  <c:v>7168.65</c:v>
                </c:pt>
                <c:pt idx="1">
                  <c:v>8767.0314808180337</c:v>
                </c:pt>
              </c:numCache>
            </c:numRef>
          </c:val>
        </c:ser>
        <c:ser>
          <c:idx val="2"/>
          <c:order val="2"/>
          <c:tx>
            <c:strRef>
              <c:f>Vic!$BG$12</c:f>
              <c:strCache>
                <c:ptCount val="1"/>
                <c:pt idx="0">
                  <c:v>Energy recovery</c:v>
                </c:pt>
              </c:strCache>
            </c:strRef>
          </c:tx>
          <c:spPr>
            <a:solidFill>
              <a:schemeClr val="accent6">
                <a:lumMod val="75000"/>
              </a:schemeClr>
            </a:solidFill>
          </c:spPr>
          <c:dLbls>
            <c:dLbl>
              <c:idx val="0"/>
              <c:layout>
                <c:manualLayout>
                  <c:x val="-2.1371375521569741E-7"/>
                  <c:y val="9.2753640123910096E-3"/>
                </c:manualLayout>
              </c:layout>
              <c:showVal val="1"/>
            </c:dLbl>
            <c:dLbl>
              <c:idx val="1"/>
              <c:layout>
                <c:manualLayout>
                  <c:x val="-2.1371375521569741E-7"/>
                  <c:y val="9.2753640123910547E-3"/>
                </c:manualLayout>
              </c:layout>
              <c:showVal val="1"/>
            </c:dLbl>
            <c:showVal val="1"/>
          </c:dLbls>
          <c:cat>
            <c:strRef>
              <c:f>(Vic!$BH$7,Vic!$BM$7)</c:f>
              <c:strCache>
                <c:ptCount val="2"/>
                <c:pt idx="0">
                  <c:v>2010/11 excl. fly ash</c:v>
                </c:pt>
                <c:pt idx="1">
                  <c:v>2010/11 incl. fly ash</c:v>
                </c:pt>
              </c:strCache>
            </c:strRef>
          </c:cat>
          <c:val>
            <c:numRef>
              <c:f>(Vic!$BK$12,Vic!$BM$12)</c:f>
              <c:numCache>
                <c:formatCode>#,##0</c:formatCode>
                <c:ptCount val="2"/>
                <c:pt idx="0">
                  <c:v>301.28188023859303</c:v>
                </c:pt>
                <c:pt idx="1">
                  <c:v>301.28188023859303</c:v>
                </c:pt>
              </c:numCache>
            </c:numRef>
          </c:val>
        </c:ser>
        <c:ser>
          <c:idx val="3"/>
          <c:order val="3"/>
          <c:tx>
            <c:strRef>
              <c:f>Vic!$BG$13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(Vic!$BH$7,Vic!$BM$7)</c:f>
              <c:strCache>
                <c:ptCount val="2"/>
                <c:pt idx="0">
                  <c:v>2010/11 excl. fly ash</c:v>
                </c:pt>
                <c:pt idx="1">
                  <c:v>2010/11 incl. fly ash</c:v>
                </c:pt>
              </c:strCache>
            </c:strRef>
          </c:cat>
          <c:val>
            <c:numRef>
              <c:f>(Vic!$BK$13,Vic!$BM$13)</c:f>
              <c:numCache>
                <c:formatCode>0%</c:formatCode>
                <c:ptCount val="2"/>
                <c:pt idx="0">
                  <c:v>0.62102067925417281</c:v>
                </c:pt>
                <c:pt idx="1">
                  <c:v>0.62403185726888211</c:v>
                </c:pt>
              </c:numCache>
            </c:numRef>
          </c:val>
        </c:ser>
        <c:dLbls/>
        <c:overlap val="100"/>
        <c:axId val="103700352"/>
        <c:axId val="103701888"/>
      </c:barChart>
      <c:catAx>
        <c:axId val="103700352"/>
        <c:scaling>
          <c:orientation val="minMax"/>
        </c:scaling>
        <c:axPos val="b"/>
        <c:majorTickMark val="none"/>
        <c:tickLblPos val="nextTo"/>
        <c:crossAx val="103701888"/>
        <c:crosses val="autoZero"/>
        <c:auto val="1"/>
        <c:lblAlgn val="ctr"/>
        <c:lblOffset val="100"/>
      </c:catAx>
      <c:valAx>
        <c:axId val="103701888"/>
        <c:scaling>
          <c:orientation val="minMax"/>
        </c:scaling>
        <c:axPos val="l"/>
        <c:majorGridlines/>
        <c:title>
          <c:tx>
            <c:rich>
              <a:bodyPr rot="-5400000" vert="horz"/>
              <a:lstStyle/>
              <a:p>
                <a:pPr>
                  <a:defRPr/>
                </a:pPr>
                <a:r>
                  <a:rPr lang="en-US"/>
                  <a:t>Thousands of tonnes</a:t>
                </a:r>
              </a:p>
            </c:rich>
          </c:tx>
          <c:layout>
            <c:manualLayout>
              <c:xMode val="edge"/>
              <c:yMode val="edge"/>
              <c:x val="2.3249919429915049E-2"/>
              <c:y val="0.25832765186856632"/>
            </c:manualLayout>
          </c:layout>
        </c:title>
        <c:numFmt formatCode="#,##0" sourceLinked="0"/>
        <c:tickLblPos val="nextTo"/>
        <c:spPr>
          <a:ln>
            <a:noFill/>
          </a:ln>
        </c:spPr>
        <c:crossAx val="103700352"/>
        <c:crosses val="autoZero"/>
        <c:crossBetween val="between"/>
      </c:valAx>
    </c:plotArea>
    <c:legend>
      <c:legendPos val="t"/>
      <c:legendEntry>
        <c:idx val="3"/>
        <c:delete val="1"/>
      </c:legendEntry>
    </c:legend>
    <c:plotVisOnly val="1"/>
    <c:dispBlanksAs val="gap"/>
  </c:chart>
  <c:spPr>
    <a:ln>
      <a:noFill/>
    </a:ln>
  </c:spPr>
  <c:printSettings>
    <c:headerFooter/>
    <c:pageMargins b="0.7500000000000081" l="0.70000000000000062" r="0.70000000000000062" t="0.750000000000008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7931561966368412"/>
          <c:y val="0.16317884983295219"/>
          <c:w val="0.79012884686873175"/>
          <c:h val="0.72063954730382185"/>
        </c:manualLayout>
      </c:layout>
      <c:barChart>
        <c:barDir val="col"/>
        <c:grouping val="stacked"/>
        <c:ser>
          <c:idx val="0"/>
          <c:order val="0"/>
          <c:tx>
            <c:strRef>
              <c:f>Vic!$BG$10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Vic!$BH$9:$BJ$9</c:f>
              <c:strCache>
                <c:ptCount val="3"/>
                <c:pt idx="0">
                  <c:v>MSW</c:v>
                </c:pt>
                <c:pt idx="1">
                  <c:v>C&amp;I</c:v>
                </c:pt>
                <c:pt idx="2">
                  <c:v>C&amp;D</c:v>
                </c:pt>
              </c:strCache>
            </c:strRef>
          </c:cat>
          <c:val>
            <c:numRef>
              <c:f>Vic!$BH$10:$BJ$10</c:f>
              <c:numCache>
                <c:formatCode>#,##0</c:formatCode>
                <c:ptCount val="3"/>
                <c:pt idx="0">
                  <c:v>1646.7848177484605</c:v>
                </c:pt>
                <c:pt idx="1">
                  <c:v>1526.673369322931</c:v>
                </c:pt>
                <c:pt idx="2">
                  <c:v>1385.085198940016</c:v>
                </c:pt>
              </c:numCache>
            </c:numRef>
          </c:val>
        </c:ser>
        <c:ser>
          <c:idx val="1"/>
          <c:order val="1"/>
          <c:tx>
            <c:strRef>
              <c:f>Vic!$BG$11</c:f>
              <c:strCache>
                <c:ptCount val="1"/>
                <c:pt idx="0">
                  <c:v>Recycling</c:v>
                </c:pt>
              </c:strCache>
            </c:strRef>
          </c:tx>
          <c:spPr>
            <a:solidFill>
              <a:srgbClr val="FFCC00"/>
            </a:solidFill>
          </c:spPr>
          <c:dLbls>
            <c:showVal val="1"/>
          </c:dLbls>
          <c:cat>
            <c:strRef>
              <c:f>Vic!$BH$9:$BJ$9</c:f>
              <c:strCache>
                <c:ptCount val="3"/>
                <c:pt idx="0">
                  <c:v>MSW</c:v>
                </c:pt>
                <c:pt idx="1">
                  <c:v>C&amp;I</c:v>
                </c:pt>
                <c:pt idx="2">
                  <c:v>C&amp;D</c:v>
                </c:pt>
              </c:strCache>
            </c:strRef>
          </c:cat>
          <c:val>
            <c:numRef>
              <c:f>Vic!$BH$11:$BJ$11</c:f>
              <c:numCache>
                <c:formatCode>#,##0</c:formatCode>
                <c:ptCount val="3"/>
                <c:pt idx="0">
                  <c:v>1543.590132</c:v>
                </c:pt>
                <c:pt idx="1">
                  <c:v>2484.37538</c:v>
                </c:pt>
                <c:pt idx="2">
                  <c:v>3140.6844879999999</c:v>
                </c:pt>
              </c:numCache>
            </c:numRef>
          </c:val>
        </c:ser>
        <c:ser>
          <c:idx val="2"/>
          <c:order val="2"/>
          <c:tx>
            <c:strRef>
              <c:f>Vic!$BG$12</c:f>
              <c:strCache>
                <c:ptCount val="1"/>
                <c:pt idx="0">
                  <c:v>Energy recovery</c:v>
                </c:pt>
              </c:strCache>
            </c:strRef>
          </c:tx>
          <c:spPr>
            <a:solidFill>
              <a:schemeClr val="accent6">
                <a:lumMod val="75000"/>
              </a:schemeClr>
            </a:solidFill>
          </c:spPr>
          <c:dLbls>
            <c:showVal val="1"/>
          </c:dLbls>
          <c:cat>
            <c:strRef>
              <c:f>Vic!$BH$9:$BJ$9</c:f>
              <c:strCache>
                <c:ptCount val="3"/>
                <c:pt idx="0">
                  <c:v>MSW</c:v>
                </c:pt>
                <c:pt idx="1">
                  <c:v>C&amp;I</c:v>
                </c:pt>
                <c:pt idx="2">
                  <c:v>C&amp;D</c:v>
                </c:pt>
              </c:strCache>
            </c:strRef>
          </c:cat>
          <c:val>
            <c:numRef>
              <c:f>Vic!$BH$12:$BJ$12</c:f>
              <c:numCache>
                <c:formatCode>#,##0</c:formatCode>
                <c:ptCount val="3"/>
                <c:pt idx="0">
                  <c:v>219.16048530153952</c:v>
                </c:pt>
                <c:pt idx="1">
                  <c:v>80.377808597069063</c:v>
                </c:pt>
                <c:pt idx="2">
                  <c:v>1.743586339984408</c:v>
                </c:pt>
              </c:numCache>
            </c:numRef>
          </c:val>
        </c:ser>
        <c:ser>
          <c:idx val="3"/>
          <c:order val="3"/>
          <c:tx>
            <c:strRef>
              <c:f>Vic!$BG$13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3604E-17"/>
                  <c:y val="-4.6376820061955051E-2"/>
                </c:manualLayout>
              </c:layout>
              <c:showVal val="1"/>
            </c:dLbl>
            <c:showVal val="1"/>
          </c:dLbls>
          <c:cat>
            <c:strRef>
              <c:f>Vic!$BH$9:$BJ$9</c:f>
              <c:strCache>
                <c:ptCount val="3"/>
                <c:pt idx="0">
                  <c:v>MSW</c:v>
                </c:pt>
                <c:pt idx="1">
                  <c:v>C&amp;I</c:v>
                </c:pt>
                <c:pt idx="2">
                  <c:v>C&amp;D</c:v>
                </c:pt>
              </c:strCache>
            </c:strRef>
          </c:cat>
          <c:val>
            <c:numRef>
              <c:f>Vic!$BH$13:$BJ$13</c:f>
              <c:numCache>
                <c:formatCode>0%</c:formatCode>
                <c:ptCount val="3"/>
                <c:pt idx="0">
                  <c:v>0.51700609976962719</c:v>
                </c:pt>
                <c:pt idx="1">
                  <c:v>0.62686037554122409</c:v>
                </c:pt>
                <c:pt idx="2">
                  <c:v>0.69407374085143703</c:v>
                </c:pt>
              </c:numCache>
            </c:numRef>
          </c:val>
        </c:ser>
        <c:dLbls/>
        <c:overlap val="100"/>
        <c:axId val="103767424"/>
        <c:axId val="103793792"/>
      </c:barChart>
      <c:catAx>
        <c:axId val="103767424"/>
        <c:scaling>
          <c:orientation val="minMax"/>
        </c:scaling>
        <c:axPos val="b"/>
        <c:majorTickMark val="none"/>
        <c:tickLblPos val="nextTo"/>
        <c:crossAx val="103793792"/>
        <c:crosses val="autoZero"/>
        <c:auto val="1"/>
        <c:lblAlgn val="ctr"/>
        <c:lblOffset val="100"/>
      </c:catAx>
      <c:valAx>
        <c:axId val="103793792"/>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845"/>
            </c:manualLayout>
          </c:layout>
        </c:title>
        <c:numFmt formatCode="#,##0" sourceLinked="0"/>
        <c:tickLblPos val="nextTo"/>
        <c:spPr>
          <a:ln>
            <a:noFill/>
          </a:ln>
        </c:spPr>
        <c:crossAx val="103767424"/>
        <c:crosses val="autoZero"/>
        <c:crossBetween val="between"/>
        <c:majorUnit val="1000"/>
      </c:valAx>
    </c:plotArea>
    <c:legend>
      <c:legendPos val="t"/>
      <c:legendEntry>
        <c:idx val="3"/>
        <c:delete val="1"/>
      </c:legendEntry>
    </c:legend>
    <c:plotVisOnly val="1"/>
    <c:dispBlanksAs val="gap"/>
  </c:chart>
  <c:spPr>
    <a:ln>
      <a:noFill/>
    </a:ln>
  </c:spPr>
  <c:printSettings>
    <c:headerFooter/>
    <c:pageMargins b="0.75000000000000833" l="0.70000000000000062" r="0.70000000000000062" t="0.75000000000000833"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06"/>
          <c:y val="0.16317884983295219"/>
          <c:w val="0.78381714785651757"/>
          <c:h val="0.72063954730382185"/>
        </c:manualLayout>
      </c:layout>
      <c:barChart>
        <c:barDir val="col"/>
        <c:grouping val="stacked"/>
        <c:ser>
          <c:idx val="0"/>
          <c:order val="0"/>
          <c:tx>
            <c:strRef>
              <c:f>Vic!$BG$10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(Vic!$BH$7,Vic!$BM$7)</c:f>
              <c:strCache>
                <c:ptCount val="2"/>
                <c:pt idx="0">
                  <c:v>2010/11 excl. fly ash</c:v>
                </c:pt>
                <c:pt idx="1">
                  <c:v>2010/11 incl. fly ash</c:v>
                </c:pt>
              </c:strCache>
            </c:strRef>
          </c:cat>
          <c:val>
            <c:numRef>
              <c:f>(Vic!$BL$10,Vic!$BN$10)</c:f>
              <c:numCache>
                <c:formatCode>#,##0.00</c:formatCode>
                <c:ptCount val="2"/>
                <c:pt idx="0">
                  <c:v>0.82735214234230936</c:v>
                </c:pt>
                <c:pt idx="1">
                  <c:v>0.99159678033841681</c:v>
                </c:pt>
              </c:numCache>
            </c:numRef>
          </c:val>
        </c:ser>
        <c:ser>
          <c:idx val="1"/>
          <c:order val="1"/>
          <c:tx>
            <c:strRef>
              <c:f>Vic!$BG$11</c:f>
              <c:strCache>
                <c:ptCount val="1"/>
                <c:pt idx="0">
                  <c:v>Recycling</c:v>
                </c:pt>
              </c:strCache>
            </c:strRef>
          </c:tx>
          <c:spPr>
            <a:solidFill>
              <a:srgbClr val="FFCC00"/>
            </a:solidFill>
          </c:spPr>
          <c:dLbls>
            <c:showVal val="1"/>
          </c:dLbls>
          <c:cat>
            <c:strRef>
              <c:f>(Vic!$BH$7,Vic!$BM$7)</c:f>
              <c:strCache>
                <c:ptCount val="2"/>
                <c:pt idx="0">
                  <c:v>2010/11 excl. fly ash</c:v>
                </c:pt>
                <c:pt idx="1">
                  <c:v>2010/11 incl. fly ash</c:v>
                </c:pt>
              </c:strCache>
            </c:strRef>
          </c:cat>
          <c:val>
            <c:numRef>
              <c:f>(Vic!$BL$11,Vic!$BN$11)</c:f>
              <c:numCache>
                <c:formatCode>#,##0.00</c:formatCode>
                <c:ptCount val="2"/>
                <c:pt idx="0">
                  <c:v>1.3010730474568648</c:v>
                </c:pt>
                <c:pt idx="1">
                  <c:v>1.5911710525549703</c:v>
                </c:pt>
              </c:numCache>
            </c:numRef>
          </c:val>
        </c:ser>
        <c:ser>
          <c:idx val="2"/>
          <c:order val="2"/>
          <c:tx>
            <c:strRef>
              <c:f>Vic!$BG$12</c:f>
              <c:strCache>
                <c:ptCount val="1"/>
                <c:pt idx="0">
                  <c:v>Energy recovery</c:v>
                </c:pt>
              </c:strCache>
            </c:strRef>
          </c:tx>
          <c:spPr>
            <a:solidFill>
              <a:schemeClr val="accent6">
                <a:lumMod val="75000"/>
              </a:schemeClr>
            </a:solidFill>
          </c:spPr>
          <c:dLbls>
            <c:dLbl>
              <c:idx val="0"/>
              <c:layout>
                <c:manualLayout>
                  <c:x val="-2.1371375521569783E-7"/>
                  <c:y val="9.2753640123910096E-3"/>
                </c:manualLayout>
              </c:layout>
              <c:showVal val="1"/>
            </c:dLbl>
            <c:dLbl>
              <c:idx val="1"/>
              <c:layout>
                <c:manualLayout>
                  <c:x val="-2.1371375521569783E-7"/>
                  <c:y val="9.2753640123910547E-3"/>
                </c:manualLayout>
              </c:layout>
              <c:showVal val="1"/>
            </c:dLbl>
            <c:showVal val="1"/>
          </c:dLbls>
          <c:cat>
            <c:strRef>
              <c:f>(Vic!$BH$7,Vic!$BM$7)</c:f>
              <c:strCache>
                <c:ptCount val="2"/>
                <c:pt idx="0">
                  <c:v>2010/11 excl. fly ash</c:v>
                </c:pt>
                <c:pt idx="1">
                  <c:v>2010/11 incl. fly ash</c:v>
                </c:pt>
              </c:strCache>
            </c:strRef>
          </c:cat>
          <c:val>
            <c:numRef>
              <c:f>(Vic!$BL$12,Vic!$BN$12)</c:f>
              <c:numCache>
                <c:formatCode>#,##0.00</c:formatCode>
                <c:ptCount val="2"/>
                <c:pt idx="0">
                  <c:v>5.4681109283555532E-2</c:v>
                </c:pt>
                <c:pt idx="1">
                  <c:v>5.4681109283555532E-2</c:v>
                </c:pt>
              </c:numCache>
            </c:numRef>
          </c:val>
        </c:ser>
        <c:ser>
          <c:idx val="3"/>
          <c:order val="3"/>
          <c:tx>
            <c:strRef>
              <c:f>Vic!$BG$13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(Vic!$BH$7,Vic!$BM$7)</c:f>
              <c:strCache>
                <c:ptCount val="2"/>
                <c:pt idx="0">
                  <c:v>2010/11 excl. fly ash</c:v>
                </c:pt>
                <c:pt idx="1">
                  <c:v>2010/11 incl. fly ash</c:v>
                </c:pt>
              </c:strCache>
            </c:strRef>
          </c:cat>
          <c:val>
            <c:numRef>
              <c:f>(Vic!$BL$13,Vic!$BN$13)</c:f>
              <c:numCache>
                <c:formatCode>0%</c:formatCode>
                <c:ptCount val="2"/>
                <c:pt idx="0">
                  <c:v>0.62102067925417292</c:v>
                </c:pt>
                <c:pt idx="1">
                  <c:v>0.624031857268882</c:v>
                </c:pt>
              </c:numCache>
            </c:numRef>
          </c:val>
        </c:ser>
        <c:dLbls/>
        <c:overlap val="100"/>
        <c:axId val="103851136"/>
        <c:axId val="103852672"/>
      </c:barChart>
      <c:catAx>
        <c:axId val="103851136"/>
        <c:scaling>
          <c:orientation val="minMax"/>
        </c:scaling>
        <c:axPos val="b"/>
        <c:majorTickMark val="none"/>
        <c:tickLblPos val="nextTo"/>
        <c:crossAx val="103852672"/>
        <c:crosses val="autoZero"/>
        <c:auto val="1"/>
        <c:lblAlgn val="ctr"/>
        <c:lblOffset val="100"/>
      </c:catAx>
      <c:valAx>
        <c:axId val="103852672"/>
        <c:scaling>
          <c:orientation val="minMax"/>
          <c:max val="3"/>
        </c:scaling>
        <c:axPos val="l"/>
        <c:majorGridlines/>
        <c:title>
          <c:tx>
            <c:rich>
              <a:bodyPr rot="-5400000" vert="horz"/>
              <a:lstStyle/>
              <a:p>
                <a:pPr>
                  <a:defRPr/>
                </a:pPr>
                <a:r>
                  <a:rPr lang="en-US"/>
                  <a:t>Tonnes per capita</a:t>
                </a:r>
              </a:p>
            </c:rich>
          </c:tx>
          <c:layout>
            <c:manualLayout>
              <c:xMode val="edge"/>
              <c:yMode val="edge"/>
              <c:x val="4.0023457221772474E-2"/>
              <c:y val="0.31968418481053673"/>
            </c:manualLayout>
          </c:layout>
        </c:title>
        <c:numFmt formatCode="#,##0.0" sourceLinked="0"/>
        <c:tickLblPos val="nextTo"/>
        <c:spPr>
          <a:ln>
            <a:noFill/>
          </a:ln>
        </c:spPr>
        <c:crossAx val="103851136"/>
        <c:crosses val="autoZero"/>
        <c:crossBetween val="between"/>
      </c:valAx>
    </c:plotArea>
    <c:legend>
      <c:legendPos val="t"/>
      <c:legendEntry>
        <c:idx val="3"/>
        <c:delete val="1"/>
      </c:legendEntry>
    </c:legend>
    <c:plotVisOnly val="1"/>
    <c:dispBlanksAs val="gap"/>
  </c:chart>
  <c:spPr>
    <a:ln>
      <a:noFill/>
    </a:ln>
  </c:spPr>
  <c:printSettings>
    <c:headerFooter/>
    <c:pageMargins b="0.75000000000000833" l="0.70000000000000062" r="0.70000000000000062" t="0.75000000000000833"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023"/>
        </c:manualLayout>
      </c:layout>
      <c:barChart>
        <c:barDir val="col"/>
        <c:grouping val="stacked"/>
        <c:ser>
          <c:idx val="0"/>
          <c:order val="0"/>
          <c:tx>
            <c:strRef>
              <c:f>Vic!$BH$22</c:f>
              <c:strCache>
                <c:ptCount val="1"/>
                <c:pt idx="0">
                  <c:v>Disposal</c:v>
                </c:pt>
              </c:strCache>
            </c:strRef>
          </c:tx>
          <c:spPr>
            <a:solidFill>
              <a:schemeClr val="accent2">
                <a:lumMod val="75000"/>
              </a:schemeClr>
            </a:solidFill>
          </c:spPr>
          <c:cat>
            <c:strRef>
              <c:f>Vic!$BG$23:$BG$31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Vic!$BH$23:$BH$31</c:f>
              <c:numCache>
                <c:formatCode>#,##0</c:formatCode>
                <c:ptCount val="9"/>
                <c:pt idx="0">
                  <c:v>1035.0222430230542</c:v>
                </c:pt>
                <c:pt idx="1">
                  <c:v>86.195041574931324</c:v>
                </c:pt>
                <c:pt idx="2">
                  <c:v>1647.3699471172993</c:v>
                </c:pt>
                <c:pt idx="3">
                  <c:v>529.49665324475461</c:v>
                </c:pt>
                <c:pt idx="4">
                  <c:v>518.58408530486815</c:v>
                </c:pt>
                <c:pt idx="5">
                  <c:v>105.22338796507985</c:v>
                </c:pt>
                <c:pt idx="6">
                  <c:v>175.30302778141942</c:v>
                </c:pt>
                <c:pt idx="7">
                  <c:v>461.34899999999999</c:v>
                </c:pt>
                <c:pt idx="8">
                  <c:v>904.95481900283619</c:v>
                </c:pt>
              </c:numCache>
            </c:numRef>
          </c:val>
        </c:ser>
        <c:ser>
          <c:idx val="1"/>
          <c:order val="1"/>
          <c:tx>
            <c:strRef>
              <c:f>Vic!$BI$22</c:f>
              <c:strCache>
                <c:ptCount val="1"/>
                <c:pt idx="0">
                  <c:v>Recycling</c:v>
                </c:pt>
              </c:strCache>
            </c:strRef>
          </c:tx>
          <c:spPr>
            <a:solidFill>
              <a:srgbClr val="FFCC00"/>
            </a:solidFill>
          </c:spPr>
          <c:cat>
            <c:strRef>
              <c:f>Vic!$BG$23:$BG$31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Vic!$BI$23:$BI$31</c:f>
              <c:numCache>
                <c:formatCode>#,##0</c:formatCode>
                <c:ptCount val="9"/>
                <c:pt idx="0">
                  <c:v>3213.0509999999999</c:v>
                </c:pt>
                <c:pt idx="1">
                  <c:v>1383.913</c:v>
                </c:pt>
                <c:pt idx="2">
                  <c:v>1037.8240000000001</c:v>
                </c:pt>
                <c:pt idx="3">
                  <c:v>1011.439</c:v>
                </c:pt>
                <c:pt idx="4">
                  <c:v>146.20400000000001</c:v>
                </c:pt>
                <c:pt idx="5">
                  <c:v>116.86499999999999</c:v>
                </c:pt>
                <c:pt idx="6">
                  <c:v>259.35399999999998</c:v>
                </c:pt>
                <c:pt idx="7">
                  <c:v>0</c:v>
                </c:pt>
                <c:pt idx="8">
                  <c:v>1598.3814808180325</c:v>
                </c:pt>
              </c:numCache>
            </c:numRef>
          </c:val>
        </c:ser>
        <c:ser>
          <c:idx val="2"/>
          <c:order val="2"/>
          <c:tx>
            <c:strRef>
              <c:f>Vic!$BJ$22</c:f>
              <c:strCache>
                <c:ptCount val="1"/>
                <c:pt idx="0">
                  <c:v>Energy recovery</c:v>
                </c:pt>
              </c:strCache>
            </c:strRef>
          </c:tx>
          <c:spPr>
            <a:solidFill>
              <a:schemeClr val="accent6">
                <a:lumMod val="75000"/>
              </a:schemeClr>
            </a:solidFill>
          </c:spPr>
          <c:cat>
            <c:strRef>
              <c:f>Vic!$BG$23:$BG$31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Vic!$BJ$23:$BJ$31</c:f>
              <c:numCache>
                <c:formatCode>#,##0</c:formatCode>
                <c:ptCount val="9"/>
                <c:pt idx="0">
                  <c:v>0</c:v>
                </c:pt>
                <c:pt idx="1">
                  <c:v>0</c:v>
                </c:pt>
                <c:pt idx="2">
                  <c:v>227.49385661013832</c:v>
                </c:pt>
                <c:pt idx="3">
                  <c:v>60.760322909100843</c:v>
                </c:pt>
                <c:pt idx="4">
                  <c:v>0</c:v>
                </c:pt>
                <c:pt idx="5">
                  <c:v>0</c:v>
                </c:pt>
                <c:pt idx="6">
                  <c:v>13.027700719353858</c:v>
                </c:pt>
                <c:pt idx="7">
                  <c:v>0</c:v>
                </c:pt>
                <c:pt idx="8">
                  <c:v>0</c:v>
                </c:pt>
              </c:numCache>
            </c:numRef>
          </c:val>
        </c:ser>
        <c:ser>
          <c:idx val="3"/>
          <c:order val="3"/>
          <c:tx>
            <c:strRef>
              <c:f>Vic!$BK$22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3813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247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28E-2"/>
                </c:manualLayout>
              </c:layout>
              <c:showVal val="1"/>
            </c:dLbl>
            <c:showVal val="1"/>
          </c:dLbls>
          <c:cat>
            <c:strRef>
              <c:f>Vic!$BG$23:$BG$31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Vic!$BK$23:$BK$31</c:f>
              <c:numCache>
                <c:formatCode>0%</c:formatCode>
                <c:ptCount val="9"/>
                <c:pt idx="0">
                  <c:v>0.75635489695876756</c:v>
                </c:pt>
                <c:pt idx="1">
                  <c:v>0.94136822659469954</c:v>
                </c:pt>
                <c:pt idx="2">
                  <c:v>0.43441588727459229</c:v>
                </c:pt>
                <c:pt idx="3">
                  <c:v>0.66941500688774147</c:v>
                </c:pt>
                <c:pt idx="4">
                  <c:v>0.21992572254502973</c:v>
                </c:pt>
                <c:pt idx="5">
                  <c:v>0.52620941180578662</c:v>
                </c:pt>
                <c:pt idx="6">
                  <c:v>0.60842303384240493</c:v>
                </c:pt>
                <c:pt idx="7">
                  <c:v>0</c:v>
                </c:pt>
                <c:pt idx="8">
                  <c:v>0.63850050068478936</c:v>
                </c:pt>
              </c:numCache>
            </c:numRef>
          </c:val>
        </c:ser>
        <c:dLbls/>
        <c:overlap val="100"/>
        <c:axId val="104113664"/>
        <c:axId val="104115200"/>
      </c:barChart>
      <c:catAx>
        <c:axId val="104113664"/>
        <c:scaling>
          <c:orientation val="minMax"/>
        </c:scaling>
        <c:axPos val="b"/>
        <c:majorTickMark val="none"/>
        <c:tickLblPos val="nextTo"/>
        <c:crossAx val="104115200"/>
        <c:crosses val="autoZero"/>
        <c:auto val="1"/>
        <c:lblAlgn val="ctr"/>
        <c:lblOffset val="100"/>
      </c:catAx>
      <c:valAx>
        <c:axId val="104115200"/>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868"/>
            </c:manualLayout>
          </c:layout>
        </c:title>
        <c:numFmt formatCode="#,##0" sourceLinked="0"/>
        <c:tickLblPos val="nextTo"/>
        <c:spPr>
          <a:ln>
            <a:noFill/>
          </a:ln>
        </c:spPr>
        <c:crossAx val="104113664"/>
        <c:crosses val="autoZero"/>
        <c:crossBetween val="between"/>
        <c:majorUnit val="1000"/>
      </c:valAx>
    </c:plotArea>
    <c:legend>
      <c:legendPos val="t"/>
      <c:legendEntry>
        <c:idx val="3"/>
        <c:delete val="1"/>
      </c:legendEntry>
    </c:legend>
    <c:plotVisOnly val="1"/>
    <c:dispBlanksAs val="gap"/>
  </c:chart>
  <c:spPr>
    <a:ln>
      <a:noFill/>
    </a:ln>
  </c:spPr>
  <c:printSettings>
    <c:headerFooter/>
    <c:pageMargins b="0.75000000000000855" l="0.70000000000000062" r="0.70000000000000062" t="0.75000000000000855"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Vic!$BU$43</c:f>
              <c:strCache>
                <c:ptCount val="1"/>
                <c:pt idx="0">
                  <c:v>Disposal</c:v>
                </c:pt>
              </c:strCache>
            </c:strRef>
          </c:tx>
          <c:spPr>
            <a:solidFill>
              <a:srgbClr val="C0504D">
                <a:lumMod val="75000"/>
              </a:srgbClr>
            </a:solidFill>
          </c:spPr>
          <c:cat>
            <c:strRef>
              <c:f>Vic!$BV$42:$BZ$42</c:f>
              <c:strCache>
                <c:ptCount val="5"/>
                <c:pt idx="0">
                  <c:v>06/07</c:v>
                </c:pt>
                <c:pt idx="1">
                  <c:v>07/08</c:v>
                </c:pt>
                <c:pt idx="2">
                  <c:v>08/09</c:v>
                </c:pt>
                <c:pt idx="3">
                  <c:v>09/10</c:v>
                </c:pt>
                <c:pt idx="4">
                  <c:v>10/11</c:v>
                </c:pt>
              </c:strCache>
            </c:strRef>
          </c:cat>
          <c:val>
            <c:numRef>
              <c:f>Vic!$BV$43:$BZ$43</c:f>
              <c:numCache>
                <c:formatCode>#,##0.00</c:formatCode>
                <c:ptCount val="5"/>
                <c:pt idx="0">
                  <c:v>0.94984707315458783</c:v>
                </c:pt>
                <c:pt idx="1">
                  <c:v>0.87982298060662822</c:v>
                </c:pt>
                <c:pt idx="2">
                  <c:v>0.80979888805866862</c:v>
                </c:pt>
                <c:pt idx="3">
                  <c:v>0.8049411321074712</c:v>
                </c:pt>
                <c:pt idx="4">
                  <c:v>0.82735214234230936</c:v>
                </c:pt>
              </c:numCache>
            </c:numRef>
          </c:val>
        </c:ser>
        <c:ser>
          <c:idx val="1"/>
          <c:order val="1"/>
          <c:tx>
            <c:strRef>
              <c:f>Vic!$BU$44</c:f>
              <c:strCache>
                <c:ptCount val="1"/>
                <c:pt idx="0">
                  <c:v>Recycling</c:v>
                </c:pt>
              </c:strCache>
            </c:strRef>
          </c:tx>
          <c:spPr>
            <a:solidFill>
              <a:srgbClr val="FFCC00"/>
            </a:solidFill>
          </c:spPr>
          <c:cat>
            <c:strRef>
              <c:f>Vic!$BV$42:$BZ$42</c:f>
              <c:strCache>
                <c:ptCount val="5"/>
                <c:pt idx="0">
                  <c:v>06/07</c:v>
                </c:pt>
                <c:pt idx="1">
                  <c:v>07/08</c:v>
                </c:pt>
                <c:pt idx="2">
                  <c:v>08/09</c:v>
                </c:pt>
                <c:pt idx="3">
                  <c:v>09/10</c:v>
                </c:pt>
                <c:pt idx="4">
                  <c:v>10/11</c:v>
                </c:pt>
              </c:strCache>
            </c:strRef>
          </c:cat>
          <c:val>
            <c:numRef>
              <c:f>Vic!$BV$44:$BZ$44</c:f>
              <c:numCache>
                <c:formatCode>#,##0.00</c:formatCode>
                <c:ptCount val="5"/>
                <c:pt idx="0">
                  <c:v>1.1302591426986355</c:v>
                </c:pt>
                <c:pt idx="1">
                  <c:v>1.1048477271710531</c:v>
                </c:pt>
                <c:pt idx="2">
                  <c:v>1.0794363116434706</c:v>
                </c:pt>
                <c:pt idx="3">
                  <c:v>1.2818246949750487</c:v>
                </c:pt>
                <c:pt idx="4">
                  <c:v>1.3010730474568648</c:v>
                </c:pt>
              </c:numCache>
            </c:numRef>
          </c:val>
        </c:ser>
        <c:ser>
          <c:idx val="2"/>
          <c:order val="2"/>
          <c:tx>
            <c:strRef>
              <c:f>Vic!$BU$45</c:f>
              <c:strCache>
                <c:ptCount val="1"/>
                <c:pt idx="0">
                  <c:v>Energy recovery</c:v>
                </c:pt>
              </c:strCache>
            </c:strRef>
          </c:tx>
          <c:spPr>
            <a:solidFill>
              <a:schemeClr val="accent6">
                <a:lumMod val="75000"/>
              </a:schemeClr>
            </a:solidFill>
          </c:spPr>
          <c:cat>
            <c:strRef>
              <c:f>Vic!$BV$42:$BZ$42</c:f>
              <c:strCache>
                <c:ptCount val="5"/>
                <c:pt idx="0">
                  <c:v>06/07</c:v>
                </c:pt>
                <c:pt idx="1">
                  <c:v>07/08</c:v>
                </c:pt>
                <c:pt idx="2">
                  <c:v>08/09</c:v>
                </c:pt>
                <c:pt idx="3">
                  <c:v>09/10</c:v>
                </c:pt>
                <c:pt idx="4">
                  <c:v>10/11</c:v>
                </c:pt>
              </c:strCache>
            </c:strRef>
          </c:cat>
          <c:val>
            <c:numRef>
              <c:f>Vic!$BV$45:$BZ$45</c:f>
              <c:numCache>
                <c:formatCode>#,##0.00</c:formatCode>
                <c:ptCount val="5"/>
                <c:pt idx="0">
                  <c:v>5.0010652765189088E-2</c:v>
                </c:pt>
                <c:pt idx="1">
                  <c:v>4.8847089589088552E-2</c:v>
                </c:pt>
                <c:pt idx="2">
                  <c:v>4.7683526412988009E-2</c:v>
                </c:pt>
                <c:pt idx="3">
                  <c:v>5.2647948575232958E-2</c:v>
                </c:pt>
                <c:pt idx="4">
                  <c:v>5.4681109283555532E-2</c:v>
                </c:pt>
              </c:numCache>
            </c:numRef>
          </c:val>
        </c:ser>
        <c:dLbls/>
        <c:axId val="104179584"/>
        <c:axId val="104181120"/>
      </c:areaChart>
      <c:catAx>
        <c:axId val="104179584"/>
        <c:scaling>
          <c:orientation val="minMax"/>
        </c:scaling>
        <c:axPos val="b"/>
        <c:tickLblPos val="nextTo"/>
        <c:crossAx val="104181120"/>
        <c:crosses val="autoZero"/>
        <c:auto val="1"/>
        <c:lblAlgn val="ctr"/>
        <c:lblOffset val="100"/>
      </c:catAx>
      <c:valAx>
        <c:axId val="104181120"/>
        <c:scaling>
          <c:orientation val="minMax"/>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104179584"/>
        <c:crosses val="autoZero"/>
        <c:crossBetween val="midCat"/>
      </c:valAx>
    </c:plotArea>
    <c:legend>
      <c:legendPos val="t"/>
    </c:legend>
    <c:plotVisOnly val="1"/>
    <c:dispBlanksAs val="zero"/>
  </c:chart>
  <c:spPr>
    <a:ln>
      <a:noFill/>
    </a:ln>
  </c:spPr>
  <c:printSettings>
    <c:headerFooter/>
    <c:pageMargins b="0.75000000000000511" l="0.70000000000000062" r="0.70000000000000062" t="0.75000000000000511"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Vic!$BU$66</c:f>
              <c:strCache>
                <c:ptCount val="1"/>
                <c:pt idx="0">
                  <c:v>Disposal</c:v>
                </c:pt>
              </c:strCache>
            </c:strRef>
          </c:tx>
          <c:spPr>
            <a:solidFill>
              <a:srgbClr val="C0504D">
                <a:lumMod val="75000"/>
              </a:srgbClr>
            </a:solidFill>
          </c:spPr>
          <c:cat>
            <c:strRef>
              <c:f>Vic!$BV$42:$BZ$42</c:f>
              <c:strCache>
                <c:ptCount val="5"/>
                <c:pt idx="0">
                  <c:v>06/07</c:v>
                </c:pt>
                <c:pt idx="1">
                  <c:v>07/08</c:v>
                </c:pt>
                <c:pt idx="2">
                  <c:v>08/09</c:v>
                </c:pt>
                <c:pt idx="3">
                  <c:v>09/10</c:v>
                </c:pt>
                <c:pt idx="4">
                  <c:v>10/11</c:v>
                </c:pt>
              </c:strCache>
            </c:strRef>
          </c:cat>
          <c:val>
            <c:numRef>
              <c:f>Vic!$BV$66:$BZ$66</c:f>
              <c:numCache>
                <c:formatCode>#,##0</c:formatCode>
                <c:ptCount val="5"/>
                <c:pt idx="0">
                  <c:v>4915.6694696252325</c:v>
                </c:pt>
                <c:pt idx="1">
                  <c:v>4627.3380867252081</c:v>
                </c:pt>
                <c:pt idx="2">
                  <c:v>4339.0067038251836</c:v>
                </c:pt>
                <c:pt idx="3">
                  <c:v>4383.1232070778296</c:v>
                </c:pt>
                <c:pt idx="4">
                  <c:v>4558.5433860114072</c:v>
                </c:pt>
              </c:numCache>
            </c:numRef>
          </c:val>
        </c:ser>
        <c:ser>
          <c:idx val="1"/>
          <c:order val="1"/>
          <c:tx>
            <c:strRef>
              <c:f>Vic!$BU$67</c:f>
              <c:strCache>
                <c:ptCount val="1"/>
                <c:pt idx="0">
                  <c:v>Recycling</c:v>
                </c:pt>
              </c:strCache>
            </c:strRef>
          </c:tx>
          <c:spPr>
            <a:solidFill>
              <a:srgbClr val="FFCC00"/>
            </a:solidFill>
          </c:spPr>
          <c:cat>
            <c:strRef>
              <c:f>Vic!$BV$42:$BZ$42</c:f>
              <c:strCache>
                <c:ptCount val="5"/>
                <c:pt idx="0">
                  <c:v>06/07</c:v>
                </c:pt>
                <c:pt idx="1">
                  <c:v>07/08</c:v>
                </c:pt>
                <c:pt idx="2">
                  <c:v>08/09</c:v>
                </c:pt>
                <c:pt idx="3">
                  <c:v>09/10</c:v>
                </c:pt>
                <c:pt idx="4">
                  <c:v>10/11</c:v>
                </c:pt>
              </c:strCache>
            </c:strRef>
          </c:cat>
          <c:val>
            <c:numRef>
              <c:f>Vic!$BV$67:$BZ$67</c:f>
              <c:numCache>
                <c:formatCode>#,##0</c:formatCode>
                <c:ptCount val="5"/>
                <c:pt idx="0">
                  <c:v>5855.0514999999996</c:v>
                </c:pt>
                <c:pt idx="1">
                  <c:v>5820.5843166666664</c:v>
                </c:pt>
                <c:pt idx="2">
                  <c:v>5786.1171333333332</c:v>
                </c:pt>
                <c:pt idx="3">
                  <c:v>6979.8838000000005</c:v>
                </c:pt>
                <c:pt idx="4">
                  <c:v>7168.65</c:v>
                </c:pt>
              </c:numCache>
            </c:numRef>
          </c:val>
        </c:ser>
        <c:ser>
          <c:idx val="2"/>
          <c:order val="2"/>
          <c:tx>
            <c:strRef>
              <c:f>Vic!$BU$68</c:f>
              <c:strCache>
                <c:ptCount val="1"/>
                <c:pt idx="0">
                  <c:v>Energy recovery</c:v>
                </c:pt>
              </c:strCache>
            </c:strRef>
          </c:tx>
          <c:spPr>
            <a:solidFill>
              <a:schemeClr val="accent6">
                <a:lumMod val="75000"/>
              </a:schemeClr>
            </a:solidFill>
          </c:spPr>
          <c:cat>
            <c:strRef>
              <c:f>Vic!$BV$42:$BZ$42</c:f>
              <c:strCache>
                <c:ptCount val="5"/>
                <c:pt idx="0">
                  <c:v>06/07</c:v>
                </c:pt>
                <c:pt idx="1">
                  <c:v>07/08</c:v>
                </c:pt>
                <c:pt idx="2">
                  <c:v>08/09</c:v>
                </c:pt>
                <c:pt idx="3">
                  <c:v>09/10</c:v>
                </c:pt>
                <c:pt idx="4">
                  <c:v>10/11</c:v>
                </c:pt>
              </c:strCache>
            </c:strRef>
          </c:cat>
          <c:val>
            <c:numRef>
              <c:f>Vic!$BV$68:$BZ$68</c:f>
              <c:numCache>
                <c:formatCode>#,##0</c:formatCode>
                <c:ptCount val="5"/>
                <c:pt idx="0">
                  <c:v>258.81623042476741</c:v>
                </c:pt>
                <c:pt idx="1">
                  <c:v>257.15535209979146</c:v>
                </c:pt>
                <c:pt idx="2">
                  <c:v>255.49447377481545</c:v>
                </c:pt>
                <c:pt idx="3">
                  <c:v>286.68238707216881</c:v>
                </c:pt>
                <c:pt idx="4">
                  <c:v>301.28188023859303</c:v>
                </c:pt>
              </c:numCache>
            </c:numRef>
          </c:val>
        </c:ser>
        <c:dLbls/>
        <c:axId val="104286080"/>
        <c:axId val="104287616"/>
      </c:areaChart>
      <c:catAx>
        <c:axId val="104286080"/>
        <c:scaling>
          <c:orientation val="minMax"/>
        </c:scaling>
        <c:axPos val="b"/>
        <c:tickLblPos val="nextTo"/>
        <c:crossAx val="104287616"/>
        <c:crosses val="autoZero"/>
        <c:auto val="1"/>
        <c:lblAlgn val="ctr"/>
        <c:lblOffset val="100"/>
      </c:catAx>
      <c:valAx>
        <c:axId val="104287616"/>
        <c:scaling>
          <c:orientation val="minMax"/>
        </c:scaling>
        <c:axPos val="l"/>
        <c:majorGridlines/>
        <c:title>
          <c:tx>
            <c:rich>
              <a:bodyPr rot="-5400000" vert="horz"/>
              <a:lstStyle/>
              <a:p>
                <a:pPr>
                  <a:defRPr/>
                </a:pPr>
                <a:r>
                  <a:rPr lang="en-US"/>
                  <a:t>Millions of tonnes</a:t>
                </a:r>
              </a:p>
            </c:rich>
          </c:tx>
        </c:title>
        <c:numFmt formatCode="0," sourceLinked="0"/>
        <c:tickLblPos val="nextTo"/>
        <c:crossAx val="104286080"/>
        <c:crosses val="autoZero"/>
        <c:crossBetween val="midCat"/>
      </c:valAx>
    </c:plotArea>
    <c:legend>
      <c:legendPos val="t"/>
    </c:legend>
    <c:plotVisOnly val="1"/>
    <c:dispBlanksAs val="zero"/>
  </c:chart>
  <c:spPr>
    <a:ln>
      <a:noFill/>
    </a:ln>
  </c:spPr>
  <c:printSettings>
    <c:headerFooter/>
    <c:pageMargins b="0.75000000000000533" l="0.70000000000000062" r="0.70000000000000062" t="0.750000000000005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ACT!$BU$66</c:f>
              <c:strCache>
                <c:ptCount val="1"/>
                <c:pt idx="0">
                  <c:v>Disposal</c:v>
                </c:pt>
              </c:strCache>
            </c:strRef>
          </c:tx>
          <c:spPr>
            <a:solidFill>
              <a:srgbClr val="C0504D">
                <a:lumMod val="75000"/>
              </a:srgbClr>
            </a:solidFill>
          </c:spPr>
          <c:cat>
            <c:strRef>
              <c:f>ACT!$BV$65:$BZ$65</c:f>
              <c:strCache>
                <c:ptCount val="5"/>
                <c:pt idx="0">
                  <c:v>06/07</c:v>
                </c:pt>
                <c:pt idx="1">
                  <c:v>07/08</c:v>
                </c:pt>
                <c:pt idx="2">
                  <c:v>08/09</c:v>
                </c:pt>
                <c:pt idx="3">
                  <c:v>09/10</c:v>
                </c:pt>
                <c:pt idx="4">
                  <c:v>10/11</c:v>
                </c:pt>
              </c:strCache>
            </c:strRef>
          </c:cat>
          <c:val>
            <c:numRef>
              <c:f>ACT!$BV$66:$BZ$66</c:f>
              <c:numCache>
                <c:formatCode>#,##0</c:formatCode>
                <c:ptCount val="5"/>
                <c:pt idx="0">
                  <c:v>158.88235406014516</c:v>
                </c:pt>
                <c:pt idx="1">
                  <c:v>155.57563655275408</c:v>
                </c:pt>
                <c:pt idx="2">
                  <c:v>152.26891904536302</c:v>
                </c:pt>
                <c:pt idx="3">
                  <c:v>148.33528008545989</c:v>
                </c:pt>
                <c:pt idx="4">
                  <c:v>198.50503867761728</c:v>
                </c:pt>
              </c:numCache>
            </c:numRef>
          </c:val>
        </c:ser>
        <c:ser>
          <c:idx val="1"/>
          <c:order val="1"/>
          <c:tx>
            <c:strRef>
              <c:f>ACT!$BU$67</c:f>
              <c:strCache>
                <c:ptCount val="1"/>
                <c:pt idx="0">
                  <c:v>Recycling</c:v>
                </c:pt>
              </c:strCache>
            </c:strRef>
          </c:tx>
          <c:spPr>
            <a:solidFill>
              <a:srgbClr val="FFCC00"/>
            </a:solidFill>
          </c:spPr>
          <c:cat>
            <c:strRef>
              <c:f>ACT!$BV$65:$BZ$65</c:f>
              <c:strCache>
                <c:ptCount val="5"/>
                <c:pt idx="0">
                  <c:v>06/07</c:v>
                </c:pt>
                <c:pt idx="1">
                  <c:v>07/08</c:v>
                </c:pt>
                <c:pt idx="2">
                  <c:v>08/09</c:v>
                </c:pt>
                <c:pt idx="3">
                  <c:v>09/10</c:v>
                </c:pt>
                <c:pt idx="4">
                  <c:v>10/11</c:v>
                </c:pt>
              </c:strCache>
            </c:strRef>
          </c:cat>
          <c:val>
            <c:numRef>
              <c:f>ACT!$BV$67:$BZ$67</c:f>
              <c:numCache>
                <c:formatCode>#,##0</c:formatCode>
                <c:ptCount val="5"/>
                <c:pt idx="0">
                  <c:v>538.93405137825152</c:v>
                </c:pt>
                <c:pt idx="1">
                  <c:v>547.5187272075575</c:v>
                </c:pt>
                <c:pt idx="2">
                  <c:v>556.10340303686348</c:v>
                </c:pt>
                <c:pt idx="3">
                  <c:v>559.85603770318812</c:v>
                </c:pt>
                <c:pt idx="4">
                  <c:v>704.5913880702069</c:v>
                </c:pt>
              </c:numCache>
            </c:numRef>
          </c:val>
        </c:ser>
        <c:ser>
          <c:idx val="2"/>
          <c:order val="2"/>
          <c:tx>
            <c:strRef>
              <c:f>ACT!$BU$68</c:f>
              <c:strCache>
                <c:ptCount val="1"/>
                <c:pt idx="0">
                  <c:v>Energy recovery</c:v>
                </c:pt>
              </c:strCache>
            </c:strRef>
          </c:tx>
          <c:spPr>
            <a:solidFill>
              <a:schemeClr val="accent6">
                <a:lumMod val="75000"/>
              </a:schemeClr>
            </a:solidFill>
          </c:spPr>
          <c:cat>
            <c:strRef>
              <c:f>ACT!$BV$65:$BZ$65</c:f>
              <c:strCache>
                <c:ptCount val="5"/>
                <c:pt idx="0">
                  <c:v>06/07</c:v>
                </c:pt>
                <c:pt idx="1">
                  <c:v>07/08</c:v>
                </c:pt>
                <c:pt idx="2">
                  <c:v>08/09</c:v>
                </c:pt>
                <c:pt idx="3">
                  <c:v>09/10</c:v>
                </c:pt>
                <c:pt idx="4">
                  <c:v>10/11</c:v>
                </c:pt>
              </c:strCache>
            </c:strRef>
          </c:cat>
          <c:val>
            <c:numRef>
              <c:f>ACT!$BV$68:$BZ$68</c:f>
              <c:numCache>
                <c:formatCode>#,##0</c:formatCode>
                <c:ptCount val="5"/>
                <c:pt idx="0">
                  <c:v>37.501145647574205</c:v>
                </c:pt>
                <c:pt idx="1">
                  <c:v>34.252402174370147</c:v>
                </c:pt>
                <c:pt idx="2">
                  <c:v>31.003658701166092</c:v>
                </c:pt>
                <c:pt idx="3">
                  <c:v>29.673188851216231</c:v>
                </c:pt>
                <c:pt idx="4">
                  <c:v>31.275542617122831</c:v>
                </c:pt>
              </c:numCache>
            </c:numRef>
          </c:val>
        </c:ser>
        <c:dLbls/>
        <c:axId val="52698112"/>
        <c:axId val="52708096"/>
      </c:areaChart>
      <c:catAx>
        <c:axId val="52698112"/>
        <c:scaling>
          <c:orientation val="minMax"/>
        </c:scaling>
        <c:axPos val="b"/>
        <c:tickLblPos val="nextTo"/>
        <c:crossAx val="52708096"/>
        <c:crosses val="autoZero"/>
        <c:auto val="1"/>
        <c:lblAlgn val="ctr"/>
        <c:lblOffset val="100"/>
      </c:catAx>
      <c:valAx>
        <c:axId val="52708096"/>
        <c:scaling>
          <c:orientation val="minMax"/>
        </c:scaling>
        <c:axPos val="l"/>
        <c:majorGridlines/>
        <c:title>
          <c:tx>
            <c:rich>
              <a:bodyPr rot="-5400000" vert="horz"/>
              <a:lstStyle/>
              <a:p>
                <a:pPr>
                  <a:defRPr b="1"/>
                </a:pPr>
                <a:r>
                  <a:rPr lang="en-US" b="1"/>
                  <a:t>Thousands of tonnes</a:t>
                </a:r>
              </a:p>
            </c:rich>
          </c:tx>
        </c:title>
        <c:numFmt formatCode="General" sourceLinked="0"/>
        <c:tickLblPos val="nextTo"/>
        <c:crossAx val="52698112"/>
        <c:crosses val="autoZero"/>
        <c:crossBetween val="midCat"/>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Vic!$BV$88</c:f>
              <c:strCache>
                <c:ptCount val="1"/>
                <c:pt idx="0">
                  <c:v>Disposal</c:v>
                </c:pt>
              </c:strCache>
            </c:strRef>
          </c:tx>
          <c:spPr>
            <a:solidFill>
              <a:srgbClr val="C0504D">
                <a:lumMod val="75000"/>
              </a:srgbClr>
            </a:solidFill>
          </c:spPr>
          <c:cat>
            <c:strRef>
              <c:f>Vic!$BU$89:$BU$93</c:f>
              <c:strCache>
                <c:ptCount val="5"/>
                <c:pt idx="0">
                  <c:v>06/07</c:v>
                </c:pt>
                <c:pt idx="1">
                  <c:v>07/08</c:v>
                </c:pt>
                <c:pt idx="2">
                  <c:v>08/09</c:v>
                </c:pt>
                <c:pt idx="3">
                  <c:v>09/10</c:v>
                </c:pt>
                <c:pt idx="4">
                  <c:v>10/11</c:v>
                </c:pt>
              </c:strCache>
            </c:strRef>
          </c:cat>
          <c:val>
            <c:numRef>
              <c:f>Vic!$BV$89:$BV$93</c:f>
              <c:numCache>
                <c:formatCode>#,##0</c:formatCode>
                <c:ptCount val="5"/>
                <c:pt idx="0">
                  <c:v>1710.1452700452412</c:v>
                </c:pt>
                <c:pt idx="1">
                  <c:v>1665.9647992104315</c:v>
                </c:pt>
                <c:pt idx="2">
                  <c:v>1621.7843283756217</c:v>
                </c:pt>
                <c:pt idx="3">
                  <c:v>1624.8547243856951</c:v>
                </c:pt>
                <c:pt idx="4">
                  <c:v>1647.3699471172993</c:v>
                </c:pt>
              </c:numCache>
            </c:numRef>
          </c:val>
        </c:ser>
        <c:ser>
          <c:idx val="1"/>
          <c:order val="1"/>
          <c:tx>
            <c:strRef>
              <c:f>Vic!$BW$88</c:f>
              <c:strCache>
                <c:ptCount val="1"/>
                <c:pt idx="0">
                  <c:v>Recycling</c:v>
                </c:pt>
              </c:strCache>
            </c:strRef>
          </c:tx>
          <c:spPr>
            <a:solidFill>
              <a:srgbClr val="FFCC00"/>
            </a:solidFill>
          </c:spPr>
          <c:cat>
            <c:strRef>
              <c:f>Vic!$BU$89:$BU$93</c:f>
              <c:strCache>
                <c:ptCount val="5"/>
                <c:pt idx="0">
                  <c:v>06/07</c:v>
                </c:pt>
                <c:pt idx="1">
                  <c:v>07/08</c:v>
                </c:pt>
                <c:pt idx="2">
                  <c:v>08/09</c:v>
                </c:pt>
                <c:pt idx="3">
                  <c:v>09/10</c:v>
                </c:pt>
                <c:pt idx="4">
                  <c:v>10/11</c:v>
                </c:pt>
              </c:strCache>
            </c:strRef>
          </c:cat>
          <c:val>
            <c:numRef>
              <c:f>Vic!$BW$89:$BW$93</c:f>
              <c:numCache>
                <c:formatCode>#,##0</c:formatCode>
                <c:ptCount val="5"/>
                <c:pt idx="0">
                  <c:v>756.26499999999999</c:v>
                </c:pt>
                <c:pt idx="1">
                  <c:v>760.86500000000001</c:v>
                </c:pt>
                <c:pt idx="2">
                  <c:v>765.46500000000003</c:v>
                </c:pt>
                <c:pt idx="3">
                  <c:v>890.827</c:v>
                </c:pt>
                <c:pt idx="4">
                  <c:v>1037.8240000000001</c:v>
                </c:pt>
              </c:numCache>
            </c:numRef>
          </c:val>
        </c:ser>
        <c:ser>
          <c:idx val="2"/>
          <c:order val="2"/>
          <c:tx>
            <c:strRef>
              <c:f>Vic!$BX$88</c:f>
              <c:strCache>
                <c:ptCount val="1"/>
                <c:pt idx="0">
                  <c:v>Energy recovery</c:v>
                </c:pt>
              </c:strCache>
            </c:strRef>
          </c:tx>
          <c:spPr>
            <a:solidFill>
              <a:schemeClr val="accent6">
                <a:lumMod val="75000"/>
              </a:schemeClr>
            </a:solidFill>
          </c:spPr>
          <c:cat>
            <c:strRef>
              <c:f>Vic!$BU$89:$BU$93</c:f>
              <c:strCache>
                <c:ptCount val="5"/>
                <c:pt idx="0">
                  <c:v>06/07</c:v>
                </c:pt>
                <c:pt idx="1">
                  <c:v>07/08</c:v>
                </c:pt>
                <c:pt idx="2">
                  <c:v>08/09</c:v>
                </c:pt>
                <c:pt idx="3">
                  <c:v>09/10</c:v>
                </c:pt>
                <c:pt idx="4">
                  <c:v>10/11</c:v>
                </c:pt>
              </c:strCache>
            </c:strRef>
          </c:cat>
          <c:val>
            <c:numRef>
              <c:f>Vic!$BX$89:$BX$93</c:f>
              <c:numCache>
                <c:formatCode>#,##0</c:formatCode>
                <c:ptCount val="5"/>
                <c:pt idx="0">
                  <c:v>207.02861327429434</c:v>
                </c:pt>
                <c:pt idx="1">
                  <c:v>206.0109761452245</c:v>
                </c:pt>
                <c:pt idx="2">
                  <c:v>204.99333901615464</c:v>
                </c:pt>
                <c:pt idx="3">
                  <c:v>229.83286219663336</c:v>
                </c:pt>
                <c:pt idx="4">
                  <c:v>227.49385661013832</c:v>
                </c:pt>
              </c:numCache>
            </c:numRef>
          </c:val>
        </c:ser>
        <c:dLbls/>
        <c:axId val="104355712"/>
        <c:axId val="104357248"/>
      </c:areaChart>
      <c:catAx>
        <c:axId val="104355712"/>
        <c:scaling>
          <c:orientation val="minMax"/>
        </c:scaling>
        <c:axPos val="b"/>
        <c:tickLblPos val="nextTo"/>
        <c:crossAx val="104357248"/>
        <c:crosses val="autoZero"/>
        <c:auto val="1"/>
        <c:lblAlgn val="ctr"/>
        <c:lblOffset val="100"/>
      </c:catAx>
      <c:valAx>
        <c:axId val="104357248"/>
        <c:scaling>
          <c:orientation val="minMax"/>
          <c:max val="3000"/>
        </c:scaling>
        <c:axPos val="l"/>
        <c:majorGridlines/>
        <c:title>
          <c:tx>
            <c:rich>
              <a:bodyPr rot="-5400000" vert="horz"/>
              <a:lstStyle/>
              <a:p>
                <a:pPr>
                  <a:defRPr/>
                </a:pPr>
                <a:r>
                  <a:rPr lang="en-US"/>
                  <a:t>Millions of tonnes</a:t>
                </a:r>
              </a:p>
            </c:rich>
          </c:tx>
          <c:layout>
            <c:manualLayout>
              <c:xMode val="edge"/>
              <c:yMode val="edge"/>
              <c:x val="2.2222222222222251E-2"/>
              <c:y val="0.3079738551589859"/>
            </c:manualLayout>
          </c:layout>
        </c:title>
        <c:numFmt formatCode="0," sourceLinked="0"/>
        <c:tickLblPos val="nextTo"/>
        <c:crossAx val="104355712"/>
        <c:crosses val="autoZero"/>
        <c:crossBetween val="midCat"/>
        <c:majorUnit val="1000"/>
      </c:valAx>
    </c:plotArea>
    <c:legend>
      <c:legendPos val="t"/>
    </c:legend>
    <c:plotVisOnly val="1"/>
    <c:dispBlanksAs val="zero"/>
  </c:chart>
  <c:spPr>
    <a:ln>
      <a:noFill/>
    </a:ln>
  </c:spPr>
  <c:printSettings>
    <c:headerFooter/>
    <c:pageMargins b="0.750000000000006" l="0.70000000000000062" r="0.70000000000000062" t="0.75000000000000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31"/>
          <c:y val="0.16317884983295219"/>
          <c:w val="0.78381714785651757"/>
          <c:h val="0.72063954730382263"/>
        </c:manualLayout>
      </c:layout>
      <c:barChart>
        <c:barDir val="col"/>
        <c:grouping val="stacked"/>
        <c:ser>
          <c:idx val="0"/>
          <c:order val="0"/>
          <c:tx>
            <c:strRef>
              <c:f>WA!$BG$10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(WA!$BH$7,WA!$BM$7)</c:f>
              <c:strCache>
                <c:ptCount val="2"/>
                <c:pt idx="0">
                  <c:v>2010/11 excl. fly ash</c:v>
                </c:pt>
                <c:pt idx="1">
                  <c:v>2010/11 incl. fly ash</c:v>
                </c:pt>
              </c:strCache>
            </c:strRef>
          </c:cat>
          <c:val>
            <c:numRef>
              <c:f>(WA!$BK$10,WA!$BM$10)</c:f>
              <c:numCache>
                <c:formatCode>#,##0</c:formatCode>
                <c:ptCount val="2"/>
                <c:pt idx="0">
                  <c:v>3661.9019421374942</c:v>
                </c:pt>
                <c:pt idx="1">
                  <c:v>3902.8090602396987</c:v>
                </c:pt>
              </c:numCache>
            </c:numRef>
          </c:val>
        </c:ser>
        <c:ser>
          <c:idx val="1"/>
          <c:order val="1"/>
          <c:tx>
            <c:strRef>
              <c:f>WA!$BG$11</c:f>
              <c:strCache>
                <c:ptCount val="1"/>
                <c:pt idx="0">
                  <c:v>Recycling</c:v>
                </c:pt>
              </c:strCache>
            </c:strRef>
          </c:tx>
          <c:spPr>
            <a:solidFill>
              <a:srgbClr val="FFCC00"/>
            </a:solidFill>
          </c:spPr>
          <c:dLbls>
            <c:showVal val="1"/>
          </c:dLbls>
          <c:cat>
            <c:strRef>
              <c:f>(WA!$BH$7,WA!$BM$7)</c:f>
              <c:strCache>
                <c:ptCount val="2"/>
                <c:pt idx="0">
                  <c:v>2010/11 excl. fly ash</c:v>
                </c:pt>
                <c:pt idx="1">
                  <c:v>2010/11 incl. fly ash</c:v>
                </c:pt>
              </c:strCache>
            </c:strRef>
          </c:cat>
          <c:val>
            <c:numRef>
              <c:f>(WA!$BK$11,WA!$BM$11)</c:f>
              <c:numCache>
                <c:formatCode>#,##0</c:formatCode>
                <c:ptCount val="2"/>
                <c:pt idx="0">
                  <c:v>2136.1732386302006</c:v>
                </c:pt>
                <c:pt idx="1">
                  <c:v>2561.676775476496</c:v>
                </c:pt>
              </c:numCache>
            </c:numRef>
          </c:val>
        </c:ser>
        <c:ser>
          <c:idx val="2"/>
          <c:order val="2"/>
          <c:tx>
            <c:strRef>
              <c:f>WA!$BG$12</c:f>
              <c:strCache>
                <c:ptCount val="1"/>
                <c:pt idx="0">
                  <c:v>Energy recovery</c:v>
                </c:pt>
              </c:strCache>
            </c:strRef>
          </c:tx>
          <c:spPr>
            <a:solidFill>
              <a:schemeClr val="accent6">
                <a:lumMod val="75000"/>
              </a:schemeClr>
            </a:solidFill>
          </c:spPr>
          <c:dLbls>
            <c:dLbl>
              <c:idx val="0"/>
              <c:layout>
                <c:manualLayout>
                  <c:x val="-2.1371375521569868E-7"/>
                  <c:y val="9.2753640123910096E-3"/>
                </c:manualLayout>
              </c:layout>
              <c:showVal val="1"/>
            </c:dLbl>
            <c:dLbl>
              <c:idx val="1"/>
              <c:layout>
                <c:manualLayout>
                  <c:x val="-2.1371375521569868E-7"/>
                  <c:y val="9.2753640123910547E-3"/>
                </c:manualLayout>
              </c:layout>
              <c:showVal val="1"/>
            </c:dLbl>
            <c:showVal val="1"/>
          </c:dLbls>
          <c:cat>
            <c:strRef>
              <c:f>(WA!$BH$7,WA!$BM$7)</c:f>
              <c:strCache>
                <c:ptCount val="2"/>
                <c:pt idx="0">
                  <c:v>2010/11 excl. fly ash</c:v>
                </c:pt>
                <c:pt idx="1">
                  <c:v>2010/11 incl. fly ash</c:v>
                </c:pt>
              </c:strCache>
            </c:strRef>
          </c:cat>
          <c:val>
            <c:numRef>
              <c:f>(WA!$BK$12,WA!$BM$12)</c:f>
              <c:numCache>
                <c:formatCode>#,##0</c:formatCode>
                <c:ptCount val="2"/>
                <c:pt idx="0">
                  <c:v>158.76531421399099</c:v>
                </c:pt>
                <c:pt idx="1">
                  <c:v>158.76531421399099</c:v>
                </c:pt>
              </c:numCache>
            </c:numRef>
          </c:val>
        </c:ser>
        <c:ser>
          <c:idx val="3"/>
          <c:order val="3"/>
          <c:tx>
            <c:strRef>
              <c:f>WA!$BG$13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(WA!$BH$7,WA!$BM$7)</c:f>
              <c:strCache>
                <c:ptCount val="2"/>
                <c:pt idx="0">
                  <c:v>2010/11 excl. fly ash</c:v>
                </c:pt>
                <c:pt idx="1">
                  <c:v>2010/11 incl. fly ash</c:v>
                </c:pt>
              </c:strCache>
            </c:strRef>
          </c:cat>
          <c:val>
            <c:numRef>
              <c:f>(WA!$BK$13,WA!$BM$13)</c:f>
              <c:numCache>
                <c:formatCode>0%</c:formatCode>
                <c:ptCount val="2"/>
                <c:pt idx="0">
                  <c:v>0.38526103809184625</c:v>
                </c:pt>
                <c:pt idx="1">
                  <c:v>0.4107411946350793</c:v>
                </c:pt>
              </c:numCache>
            </c:numRef>
          </c:val>
        </c:ser>
        <c:dLbls/>
        <c:overlap val="100"/>
        <c:axId val="116232960"/>
        <c:axId val="116234496"/>
      </c:barChart>
      <c:catAx>
        <c:axId val="116232960"/>
        <c:scaling>
          <c:orientation val="minMax"/>
        </c:scaling>
        <c:axPos val="b"/>
        <c:majorTickMark val="none"/>
        <c:tickLblPos val="nextTo"/>
        <c:crossAx val="116234496"/>
        <c:crosses val="autoZero"/>
        <c:auto val="1"/>
        <c:lblAlgn val="ctr"/>
        <c:lblOffset val="100"/>
      </c:catAx>
      <c:valAx>
        <c:axId val="116234496"/>
        <c:scaling>
          <c:orientation val="minMax"/>
        </c:scaling>
        <c:axPos val="l"/>
        <c:majorGridlines/>
        <c:title>
          <c:tx>
            <c:rich>
              <a:bodyPr rot="-5400000" vert="horz"/>
              <a:lstStyle/>
              <a:p>
                <a:pPr>
                  <a:defRPr/>
                </a:pPr>
                <a:r>
                  <a:rPr lang="en-US"/>
                  <a:t>Thousands of tonnes</a:t>
                </a:r>
              </a:p>
            </c:rich>
          </c:tx>
          <c:layout>
            <c:manualLayout>
              <c:xMode val="edge"/>
              <c:yMode val="edge"/>
              <c:x val="2.3249919429915108E-2"/>
              <c:y val="0.25832765186856632"/>
            </c:manualLayout>
          </c:layout>
        </c:title>
        <c:numFmt formatCode="#,##0" sourceLinked="0"/>
        <c:tickLblPos val="nextTo"/>
        <c:spPr>
          <a:ln>
            <a:noFill/>
          </a:ln>
        </c:spPr>
        <c:crossAx val="116232960"/>
        <c:crosses val="autoZero"/>
        <c:crossBetween val="between"/>
      </c:valAx>
    </c:plotArea>
    <c:legend>
      <c:legendPos val="t"/>
      <c:legendEntry>
        <c:idx val="3"/>
        <c:delete val="1"/>
      </c:legendEntry>
    </c:legend>
    <c:plotVisOnly val="1"/>
    <c:dispBlanksAs val="gap"/>
  </c:chart>
  <c:spPr>
    <a:ln>
      <a:noFill/>
    </a:ln>
  </c:spPr>
  <c:printSettings>
    <c:headerFooter/>
    <c:pageMargins b="0.75000000000000877" l="0.70000000000000062" r="0.70000000000000062" t="0.75000000000000877"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45"/>
          <c:y val="0.16317884983295219"/>
          <c:w val="0.78381714785651757"/>
          <c:h val="0.72063954730382285"/>
        </c:manualLayout>
      </c:layout>
      <c:barChart>
        <c:barDir val="col"/>
        <c:grouping val="stacked"/>
        <c:ser>
          <c:idx val="0"/>
          <c:order val="0"/>
          <c:tx>
            <c:strRef>
              <c:f>WA!$BG$10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WA!$BH$9:$BJ$9</c:f>
              <c:strCache>
                <c:ptCount val="3"/>
                <c:pt idx="0">
                  <c:v>MSW</c:v>
                </c:pt>
                <c:pt idx="1">
                  <c:v>C&amp;I</c:v>
                </c:pt>
                <c:pt idx="2">
                  <c:v>C&amp;D</c:v>
                </c:pt>
              </c:strCache>
            </c:strRef>
          </c:cat>
          <c:val>
            <c:numRef>
              <c:f>WA!$BH$10:$BJ$10</c:f>
              <c:numCache>
                <c:formatCode>#,##0</c:formatCode>
                <c:ptCount val="3"/>
                <c:pt idx="0">
                  <c:v>963.81442479952045</c:v>
                </c:pt>
                <c:pt idx="1">
                  <c:v>1010.0488570734908</c:v>
                </c:pt>
                <c:pt idx="2">
                  <c:v>1688.0386602644835</c:v>
                </c:pt>
              </c:numCache>
            </c:numRef>
          </c:val>
        </c:ser>
        <c:ser>
          <c:idx val="1"/>
          <c:order val="1"/>
          <c:tx>
            <c:strRef>
              <c:f>WA!$BG$11</c:f>
              <c:strCache>
                <c:ptCount val="1"/>
                <c:pt idx="0">
                  <c:v>Recycling</c:v>
                </c:pt>
              </c:strCache>
            </c:strRef>
          </c:tx>
          <c:spPr>
            <a:solidFill>
              <a:srgbClr val="FFCC00"/>
            </a:solidFill>
          </c:spPr>
          <c:dLbls>
            <c:showVal val="1"/>
          </c:dLbls>
          <c:cat>
            <c:strRef>
              <c:f>WA!$BH$9:$BJ$9</c:f>
              <c:strCache>
                <c:ptCount val="3"/>
                <c:pt idx="0">
                  <c:v>MSW</c:v>
                </c:pt>
                <c:pt idx="1">
                  <c:v>C&amp;I</c:v>
                </c:pt>
                <c:pt idx="2">
                  <c:v>C&amp;D</c:v>
                </c:pt>
              </c:strCache>
            </c:strRef>
          </c:cat>
          <c:val>
            <c:numRef>
              <c:f>WA!$BH$11:$BJ$11</c:f>
              <c:numCache>
                <c:formatCode>#,##0</c:formatCode>
                <c:ptCount val="3"/>
                <c:pt idx="0">
                  <c:v>582.59270144460027</c:v>
                </c:pt>
                <c:pt idx="1">
                  <c:v>453.12765667913345</c:v>
                </c:pt>
                <c:pt idx="2">
                  <c:v>1100.4528805064672</c:v>
                </c:pt>
              </c:numCache>
            </c:numRef>
          </c:val>
        </c:ser>
        <c:ser>
          <c:idx val="2"/>
          <c:order val="2"/>
          <c:tx>
            <c:strRef>
              <c:f>WA!$BG$12</c:f>
              <c:strCache>
                <c:ptCount val="1"/>
                <c:pt idx="0">
                  <c:v>Energy recovery</c:v>
                </c:pt>
              </c:strCache>
            </c:strRef>
          </c:tx>
          <c:spPr>
            <a:solidFill>
              <a:schemeClr val="accent6">
                <a:lumMod val="75000"/>
              </a:schemeClr>
            </a:solidFill>
          </c:spPr>
          <c:dLbls>
            <c:showVal val="1"/>
          </c:dLbls>
          <c:cat>
            <c:strRef>
              <c:f>WA!$BH$9:$BJ$9</c:f>
              <c:strCache>
                <c:ptCount val="3"/>
                <c:pt idx="0">
                  <c:v>MSW</c:v>
                </c:pt>
                <c:pt idx="1">
                  <c:v>C&amp;I</c:v>
                </c:pt>
                <c:pt idx="2">
                  <c:v>C&amp;D</c:v>
                </c:pt>
              </c:strCache>
            </c:strRef>
          </c:cat>
          <c:val>
            <c:numRef>
              <c:f>WA!$BH$12:$BJ$12</c:f>
              <c:numCache>
                <c:formatCode>#,##0</c:formatCode>
                <c:ptCount val="3"/>
                <c:pt idx="0">
                  <c:v>74.313271483757063</c:v>
                </c:pt>
                <c:pt idx="1">
                  <c:v>76.564514697791395</c:v>
                </c:pt>
                <c:pt idx="2">
                  <c:v>7.8875280324425328</c:v>
                </c:pt>
              </c:numCache>
            </c:numRef>
          </c:val>
        </c:ser>
        <c:ser>
          <c:idx val="3"/>
          <c:order val="3"/>
          <c:tx>
            <c:strRef>
              <c:f>WA!$BG$13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245E-17"/>
                  <c:y val="-4.6376820061955051E-2"/>
                </c:manualLayout>
              </c:layout>
              <c:showVal val="1"/>
            </c:dLbl>
            <c:showVal val="1"/>
          </c:dLbls>
          <c:cat>
            <c:strRef>
              <c:f>WA!$BH$9:$BJ$9</c:f>
              <c:strCache>
                <c:ptCount val="3"/>
                <c:pt idx="0">
                  <c:v>MSW</c:v>
                </c:pt>
                <c:pt idx="1">
                  <c:v>C&amp;I</c:v>
                </c:pt>
                <c:pt idx="2">
                  <c:v>C&amp;D</c:v>
                </c:pt>
              </c:strCache>
            </c:strRef>
          </c:cat>
          <c:val>
            <c:numRef>
              <c:f>WA!$BH$13:$BJ$13</c:f>
              <c:numCache>
                <c:formatCode>0%</c:formatCode>
                <c:ptCount val="3"/>
                <c:pt idx="0">
                  <c:v>0.40531727363293985</c:v>
                </c:pt>
                <c:pt idx="1">
                  <c:v>0.34401380595151337</c:v>
                </c:pt>
                <c:pt idx="2">
                  <c:v>0.39634841388409586</c:v>
                </c:pt>
              </c:numCache>
            </c:numRef>
          </c:val>
        </c:ser>
        <c:dLbls/>
        <c:overlap val="100"/>
        <c:axId val="116369664"/>
        <c:axId val="118362112"/>
      </c:barChart>
      <c:catAx>
        <c:axId val="116369664"/>
        <c:scaling>
          <c:orientation val="minMax"/>
        </c:scaling>
        <c:axPos val="b"/>
        <c:majorTickMark val="none"/>
        <c:tickLblPos val="nextTo"/>
        <c:crossAx val="118362112"/>
        <c:crosses val="autoZero"/>
        <c:auto val="1"/>
        <c:lblAlgn val="ctr"/>
        <c:lblOffset val="100"/>
      </c:catAx>
      <c:valAx>
        <c:axId val="118362112"/>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18"/>
            </c:manualLayout>
          </c:layout>
        </c:title>
        <c:numFmt formatCode="#,##0" sourceLinked="0"/>
        <c:tickLblPos val="nextTo"/>
        <c:spPr>
          <a:ln>
            <a:noFill/>
          </a:ln>
        </c:spPr>
        <c:crossAx val="116369664"/>
        <c:crosses val="autoZero"/>
        <c:crossBetween val="between"/>
        <c:majorUnit val="1000"/>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01"/>
        </c:manualLayout>
      </c:layout>
      <c:barChart>
        <c:barDir val="col"/>
        <c:grouping val="stacked"/>
        <c:ser>
          <c:idx val="0"/>
          <c:order val="0"/>
          <c:tx>
            <c:strRef>
              <c:f>WA!$BH$22</c:f>
              <c:strCache>
                <c:ptCount val="1"/>
                <c:pt idx="0">
                  <c:v>Disposal</c:v>
                </c:pt>
              </c:strCache>
            </c:strRef>
          </c:tx>
          <c:spPr>
            <a:solidFill>
              <a:schemeClr val="accent2">
                <a:lumMod val="75000"/>
              </a:schemeClr>
            </a:solidFill>
          </c:spPr>
          <c:cat>
            <c:strRef>
              <c:f>WA!$BG$23:$BG$31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WA!$BH$23:$BH$31</c:f>
              <c:numCache>
                <c:formatCode>#,##0</c:formatCode>
                <c:ptCount val="9"/>
                <c:pt idx="0">
                  <c:v>1707.5688081049552</c:v>
                </c:pt>
                <c:pt idx="1">
                  <c:v>96.450571595737969</c:v>
                </c:pt>
                <c:pt idx="2">
                  <c:v>1170.1380565558513</c:v>
                </c:pt>
                <c:pt idx="3">
                  <c:v>313.52809964839008</c:v>
                </c:pt>
                <c:pt idx="4">
                  <c:v>224.30521041539782</c:v>
                </c:pt>
                <c:pt idx="5">
                  <c:v>82.231505443055241</c:v>
                </c:pt>
                <c:pt idx="6">
                  <c:v>59.24711312959775</c:v>
                </c:pt>
                <c:pt idx="7">
                  <c:v>8.4325772445089644</c:v>
                </c:pt>
                <c:pt idx="8">
                  <c:v>240.90711810220429</c:v>
                </c:pt>
              </c:numCache>
            </c:numRef>
          </c:val>
        </c:ser>
        <c:ser>
          <c:idx val="1"/>
          <c:order val="1"/>
          <c:tx>
            <c:strRef>
              <c:f>WA!$BI$22</c:f>
              <c:strCache>
                <c:ptCount val="1"/>
                <c:pt idx="0">
                  <c:v>Recycling</c:v>
                </c:pt>
              </c:strCache>
            </c:strRef>
          </c:tx>
          <c:spPr>
            <a:solidFill>
              <a:srgbClr val="FFCC00"/>
            </a:solidFill>
          </c:spPr>
          <c:cat>
            <c:strRef>
              <c:f>WA!$BG$23:$BG$31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WA!$BI$23:$BI$31</c:f>
              <c:numCache>
                <c:formatCode>#,##0</c:formatCode>
                <c:ptCount val="9"/>
                <c:pt idx="0">
                  <c:v>764.45399999999995</c:v>
                </c:pt>
                <c:pt idx="1">
                  <c:v>487.07</c:v>
                </c:pt>
                <c:pt idx="2">
                  <c:v>577.62123863020065</c:v>
                </c:pt>
                <c:pt idx="3">
                  <c:v>244.46</c:v>
                </c:pt>
                <c:pt idx="4">
                  <c:v>14.353</c:v>
                </c:pt>
                <c:pt idx="5">
                  <c:v>26.745000000000001</c:v>
                </c:pt>
                <c:pt idx="6">
                  <c:v>21.47</c:v>
                </c:pt>
                <c:pt idx="7">
                  <c:v>0</c:v>
                </c:pt>
                <c:pt idx="8">
                  <c:v>425.50353684629545</c:v>
                </c:pt>
              </c:numCache>
            </c:numRef>
          </c:val>
        </c:ser>
        <c:ser>
          <c:idx val="2"/>
          <c:order val="2"/>
          <c:tx>
            <c:strRef>
              <c:f>WA!$BJ$22</c:f>
              <c:strCache>
                <c:ptCount val="1"/>
                <c:pt idx="0">
                  <c:v>Energy recovery</c:v>
                </c:pt>
              </c:strCache>
            </c:strRef>
          </c:tx>
          <c:spPr>
            <a:solidFill>
              <a:schemeClr val="accent6">
                <a:lumMod val="75000"/>
              </a:schemeClr>
            </a:solidFill>
          </c:spPr>
          <c:cat>
            <c:strRef>
              <c:f>WA!$BG$23:$BG$31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WA!$BJ$23:$BJ$31</c:f>
              <c:numCache>
                <c:formatCode>#,##0</c:formatCode>
                <c:ptCount val="9"/>
                <c:pt idx="0">
                  <c:v>0</c:v>
                </c:pt>
                <c:pt idx="1">
                  <c:v>0</c:v>
                </c:pt>
                <c:pt idx="2">
                  <c:v>126.38495367513013</c:v>
                </c:pt>
                <c:pt idx="3">
                  <c:v>27.138167431097784</c:v>
                </c:pt>
                <c:pt idx="4">
                  <c:v>0</c:v>
                </c:pt>
                <c:pt idx="5">
                  <c:v>0</c:v>
                </c:pt>
                <c:pt idx="6">
                  <c:v>5.2421931077630743</c:v>
                </c:pt>
                <c:pt idx="7">
                  <c:v>0</c:v>
                </c:pt>
                <c:pt idx="8">
                  <c:v>0</c:v>
                </c:pt>
              </c:numCache>
            </c:numRef>
          </c:val>
        </c:ser>
        <c:ser>
          <c:idx val="3"/>
          <c:order val="3"/>
          <c:tx>
            <c:strRef>
              <c:f>WA!$BK$22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442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629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49E-2"/>
                </c:manualLayout>
              </c:layout>
              <c:showVal val="1"/>
            </c:dLbl>
            <c:showVal val="1"/>
          </c:dLbls>
          <c:cat>
            <c:strRef>
              <c:f>WA!$BG$23:$BG$31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WA!$BK$23:$BK$31</c:f>
              <c:numCache>
                <c:formatCode>0%</c:formatCode>
                <c:ptCount val="9"/>
                <c:pt idx="0">
                  <c:v>0.30924229238241857</c:v>
                </c:pt>
                <c:pt idx="1">
                  <c:v>0.83470921799384523</c:v>
                </c:pt>
                <c:pt idx="2">
                  <c:v>0.37564141219819019</c:v>
                </c:pt>
                <c:pt idx="3">
                  <c:v>0.46417018464529453</c:v>
                </c:pt>
                <c:pt idx="4">
                  <c:v>6.0140399004156651E-2</c:v>
                </c:pt>
                <c:pt idx="5">
                  <c:v>0.24541987184545366</c:v>
                </c:pt>
                <c:pt idx="6">
                  <c:v>0.31075394017260055</c:v>
                </c:pt>
                <c:pt idx="7">
                  <c:v>0</c:v>
                </c:pt>
                <c:pt idx="8">
                  <c:v>0.63850050068478925</c:v>
                </c:pt>
              </c:numCache>
            </c:numRef>
          </c:val>
        </c:ser>
        <c:dLbls/>
        <c:overlap val="100"/>
        <c:axId val="118401664"/>
        <c:axId val="119472512"/>
      </c:barChart>
      <c:catAx>
        <c:axId val="118401664"/>
        <c:scaling>
          <c:orientation val="minMax"/>
        </c:scaling>
        <c:axPos val="b"/>
        <c:majorTickMark val="none"/>
        <c:tickLblPos val="nextTo"/>
        <c:crossAx val="119472512"/>
        <c:crosses val="autoZero"/>
        <c:auto val="1"/>
        <c:lblAlgn val="ctr"/>
        <c:lblOffset val="100"/>
      </c:catAx>
      <c:valAx>
        <c:axId val="119472512"/>
        <c:scaling>
          <c:orientation val="minMax"/>
          <c:max val="3100"/>
          <c:min val="0"/>
        </c:scaling>
        <c:axPos val="l"/>
        <c:majorGridlines/>
        <c:title>
          <c:tx>
            <c:rich>
              <a:bodyPr rot="-5400000" vert="horz"/>
              <a:lstStyle/>
              <a:p>
                <a:pPr>
                  <a:defRPr/>
                </a:pPr>
                <a:r>
                  <a:rPr lang="en-US" sz="1000" b="1" i="0" u="none" strike="noStrike" baseline="0"/>
                  <a:t>Thousands of tonnes</a:t>
                </a:r>
                <a:endParaRPr lang="en-US"/>
              </a:p>
            </c:rich>
          </c:tx>
          <c:layout>
            <c:manualLayout>
              <c:xMode val="edge"/>
              <c:yMode val="edge"/>
              <c:x val="3.2214904955062434E-2"/>
              <c:y val="0.31892587290225827"/>
            </c:manualLayout>
          </c:layout>
        </c:title>
        <c:numFmt formatCode="#,##0" sourceLinked="0"/>
        <c:tickLblPos val="nextTo"/>
        <c:spPr>
          <a:ln>
            <a:noFill/>
          </a:ln>
        </c:spPr>
        <c:crossAx val="118401664"/>
        <c:crosses val="autoZero"/>
        <c:crossBetween val="between"/>
        <c:majorUnit val="1000"/>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WA!$BU$43</c:f>
              <c:strCache>
                <c:ptCount val="1"/>
                <c:pt idx="0">
                  <c:v>Disposal</c:v>
                </c:pt>
              </c:strCache>
            </c:strRef>
          </c:tx>
          <c:spPr>
            <a:solidFill>
              <a:srgbClr val="C0504D">
                <a:lumMod val="75000"/>
              </a:srgbClr>
            </a:solidFill>
          </c:spPr>
          <c:cat>
            <c:strRef>
              <c:f>WA!$BV$42:$BZ$42</c:f>
              <c:strCache>
                <c:ptCount val="5"/>
                <c:pt idx="0">
                  <c:v>06/07</c:v>
                </c:pt>
                <c:pt idx="1">
                  <c:v>07/08</c:v>
                </c:pt>
                <c:pt idx="2">
                  <c:v>08/09</c:v>
                </c:pt>
                <c:pt idx="3">
                  <c:v>09/10</c:v>
                </c:pt>
                <c:pt idx="4">
                  <c:v>10/11</c:v>
                </c:pt>
              </c:strCache>
            </c:strRef>
          </c:cat>
          <c:val>
            <c:numRef>
              <c:f>WA!$BV$43:$BZ$43</c:f>
              <c:numCache>
                <c:formatCode>#,##0.00</c:formatCode>
                <c:ptCount val="5"/>
                <c:pt idx="0">
                  <c:v>1.7765363631396029</c:v>
                </c:pt>
                <c:pt idx="1">
                  <c:v>1.7505295371497551</c:v>
                </c:pt>
                <c:pt idx="2">
                  <c:v>1.7245227111599071</c:v>
                </c:pt>
                <c:pt idx="3">
                  <c:v>2.1655535133950461</c:v>
                </c:pt>
                <c:pt idx="4">
                  <c:v>1.5719452805607879</c:v>
                </c:pt>
              </c:numCache>
            </c:numRef>
          </c:val>
        </c:ser>
        <c:ser>
          <c:idx val="1"/>
          <c:order val="1"/>
          <c:tx>
            <c:strRef>
              <c:f>WA!$BU$44</c:f>
              <c:strCache>
                <c:ptCount val="1"/>
                <c:pt idx="0">
                  <c:v>Recycling</c:v>
                </c:pt>
              </c:strCache>
            </c:strRef>
          </c:tx>
          <c:spPr>
            <a:solidFill>
              <a:srgbClr val="FFCC00"/>
            </a:solidFill>
          </c:spPr>
          <c:cat>
            <c:strRef>
              <c:f>WA!$BV$42:$BZ$42</c:f>
              <c:strCache>
                <c:ptCount val="5"/>
                <c:pt idx="0">
                  <c:v>06/07</c:v>
                </c:pt>
                <c:pt idx="1">
                  <c:v>07/08</c:v>
                </c:pt>
                <c:pt idx="2">
                  <c:v>08/09</c:v>
                </c:pt>
                <c:pt idx="3">
                  <c:v>09/10</c:v>
                </c:pt>
                <c:pt idx="4">
                  <c:v>10/11</c:v>
                </c:pt>
              </c:strCache>
            </c:strRef>
          </c:cat>
          <c:val>
            <c:numRef>
              <c:f>WA!$BV$44:$BZ$44</c:f>
              <c:numCache>
                <c:formatCode>#,##0.00</c:formatCode>
                <c:ptCount val="5"/>
                <c:pt idx="0">
                  <c:v>0.7129725006189358</c:v>
                </c:pt>
                <c:pt idx="1">
                  <c:v>0.70151680686334639</c:v>
                </c:pt>
                <c:pt idx="2">
                  <c:v>0.69006111310775708</c:v>
                </c:pt>
                <c:pt idx="3">
                  <c:v>0.83013889547535868</c:v>
                </c:pt>
                <c:pt idx="4">
                  <c:v>0.91699545590915632</c:v>
                </c:pt>
              </c:numCache>
            </c:numRef>
          </c:val>
        </c:ser>
        <c:ser>
          <c:idx val="2"/>
          <c:order val="2"/>
          <c:tx>
            <c:strRef>
              <c:f>WA!$BU$45</c:f>
              <c:strCache>
                <c:ptCount val="1"/>
                <c:pt idx="0">
                  <c:v>Energy recovery</c:v>
                </c:pt>
              </c:strCache>
            </c:strRef>
          </c:tx>
          <c:spPr>
            <a:solidFill>
              <a:schemeClr val="accent6">
                <a:lumMod val="75000"/>
              </a:schemeClr>
            </a:solidFill>
          </c:spPr>
          <c:cat>
            <c:strRef>
              <c:f>WA!$BV$42:$BZ$42</c:f>
              <c:strCache>
                <c:ptCount val="5"/>
                <c:pt idx="0">
                  <c:v>06/07</c:v>
                </c:pt>
                <c:pt idx="1">
                  <c:v>07/08</c:v>
                </c:pt>
                <c:pt idx="2">
                  <c:v>08/09</c:v>
                </c:pt>
                <c:pt idx="3">
                  <c:v>09/10</c:v>
                </c:pt>
                <c:pt idx="4">
                  <c:v>10/11</c:v>
                </c:pt>
              </c:strCache>
            </c:strRef>
          </c:cat>
          <c:val>
            <c:numRef>
              <c:f>WA!$BV$45:$BZ$45</c:f>
              <c:numCache>
                <c:formatCode>#,##0.00</c:formatCode>
                <c:ptCount val="5"/>
                <c:pt idx="0">
                  <c:v>9.4751055700003847E-2</c:v>
                </c:pt>
                <c:pt idx="1">
                  <c:v>9.4098702356158553E-2</c:v>
                </c:pt>
                <c:pt idx="2">
                  <c:v>9.3446349012313273E-2</c:v>
                </c:pt>
                <c:pt idx="3">
                  <c:v>6.9713529932427645E-2</c:v>
                </c:pt>
                <c:pt idx="4">
                  <c:v>6.8153213914230751E-2</c:v>
                </c:pt>
              </c:numCache>
            </c:numRef>
          </c:val>
        </c:ser>
        <c:dLbls/>
        <c:axId val="121523200"/>
        <c:axId val="121549568"/>
      </c:areaChart>
      <c:catAx>
        <c:axId val="121523200"/>
        <c:scaling>
          <c:orientation val="minMax"/>
        </c:scaling>
        <c:axPos val="b"/>
        <c:tickLblPos val="nextTo"/>
        <c:crossAx val="121549568"/>
        <c:crosses val="autoZero"/>
        <c:auto val="1"/>
        <c:lblAlgn val="ctr"/>
        <c:lblOffset val="100"/>
      </c:catAx>
      <c:valAx>
        <c:axId val="121549568"/>
        <c:scaling>
          <c:orientation val="minMax"/>
          <c:max val="3.5"/>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121523200"/>
        <c:crosses val="autoZero"/>
        <c:crossBetween val="midCat"/>
      </c:valAx>
    </c:plotArea>
    <c:legend>
      <c:legendPos val="t"/>
    </c:legend>
    <c:plotVisOnly val="1"/>
    <c:dispBlanksAs val="zero"/>
  </c:chart>
  <c:spPr>
    <a:ln>
      <a:noFill/>
    </a:ln>
  </c:spPr>
  <c:printSettings>
    <c:headerFooter/>
    <c:pageMargins b="0.75000000000000533" l="0.70000000000000062" r="0.70000000000000062" t="0.75000000000000533"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WA!$BU$66</c:f>
              <c:strCache>
                <c:ptCount val="1"/>
                <c:pt idx="0">
                  <c:v>Disposal</c:v>
                </c:pt>
              </c:strCache>
            </c:strRef>
          </c:tx>
          <c:spPr>
            <a:solidFill>
              <a:srgbClr val="C0504D">
                <a:lumMod val="75000"/>
              </a:srgbClr>
            </a:solidFill>
          </c:spPr>
          <c:cat>
            <c:strRef>
              <c:f>WA!$BV$65:$BZ$65</c:f>
              <c:strCache>
                <c:ptCount val="5"/>
                <c:pt idx="0">
                  <c:v>06/07</c:v>
                </c:pt>
                <c:pt idx="1">
                  <c:v>07/08</c:v>
                </c:pt>
                <c:pt idx="2">
                  <c:v>08/09</c:v>
                </c:pt>
                <c:pt idx="3">
                  <c:v>09/10</c:v>
                </c:pt>
                <c:pt idx="4">
                  <c:v>10/11</c:v>
                </c:pt>
              </c:strCache>
            </c:strRef>
          </c:cat>
          <c:val>
            <c:numRef>
              <c:f>WA!$BV$66:$BZ$66</c:f>
              <c:numCache>
                <c:formatCode>#,##0</c:formatCode>
                <c:ptCount val="5"/>
                <c:pt idx="0">
                  <c:v>3718.8426667260342</c:v>
                </c:pt>
                <c:pt idx="1">
                  <c:v>3776.9769852392365</c:v>
                </c:pt>
                <c:pt idx="2">
                  <c:v>3835.1113037524383</c:v>
                </c:pt>
                <c:pt idx="3">
                  <c:v>4931.8229091918247</c:v>
                </c:pt>
                <c:pt idx="4">
                  <c:v>3661.9019421374942</c:v>
                </c:pt>
              </c:numCache>
            </c:numRef>
          </c:val>
        </c:ser>
        <c:ser>
          <c:idx val="1"/>
          <c:order val="1"/>
          <c:tx>
            <c:strRef>
              <c:f>WA!$BU$67</c:f>
              <c:strCache>
                <c:ptCount val="1"/>
                <c:pt idx="0">
                  <c:v>Recycling</c:v>
                </c:pt>
              </c:strCache>
            </c:strRef>
          </c:tx>
          <c:spPr>
            <a:solidFill>
              <a:srgbClr val="FFCC00"/>
            </a:solidFill>
          </c:spPr>
          <c:cat>
            <c:strRef>
              <c:f>WA!$BV$65:$BZ$65</c:f>
              <c:strCache>
                <c:ptCount val="5"/>
                <c:pt idx="0">
                  <c:v>06/07</c:v>
                </c:pt>
                <c:pt idx="1">
                  <c:v>07/08</c:v>
                </c:pt>
                <c:pt idx="2">
                  <c:v>08/09</c:v>
                </c:pt>
                <c:pt idx="3">
                  <c:v>09/10</c:v>
                </c:pt>
                <c:pt idx="4">
                  <c:v>10/11</c:v>
                </c:pt>
              </c:strCache>
            </c:strRef>
          </c:cat>
          <c:val>
            <c:numRef>
              <c:f>WA!$BV$67:$BZ$67</c:f>
              <c:numCache>
                <c:formatCode>#,##0</c:formatCode>
                <c:ptCount val="5"/>
                <c:pt idx="0">
                  <c:v>1492.473</c:v>
                </c:pt>
                <c:pt idx="1">
                  <c:v>1523.248</c:v>
                </c:pt>
                <c:pt idx="2">
                  <c:v>1554.0229999999999</c:v>
                </c:pt>
                <c:pt idx="3">
                  <c:v>1904.4929999999999</c:v>
                </c:pt>
                <c:pt idx="4">
                  <c:v>2136.1732386302006</c:v>
                </c:pt>
              </c:numCache>
            </c:numRef>
          </c:val>
        </c:ser>
        <c:ser>
          <c:idx val="2"/>
          <c:order val="2"/>
          <c:tx>
            <c:strRef>
              <c:f>WA!$BU$68</c:f>
              <c:strCache>
                <c:ptCount val="1"/>
                <c:pt idx="0">
                  <c:v>Energy recovery</c:v>
                </c:pt>
              </c:strCache>
            </c:strRef>
          </c:tx>
          <c:spPr>
            <a:solidFill>
              <a:schemeClr val="accent6">
                <a:lumMod val="75000"/>
              </a:schemeClr>
            </a:solidFill>
          </c:spPr>
          <c:cat>
            <c:strRef>
              <c:f>WA!$BV$65:$BZ$65</c:f>
              <c:strCache>
                <c:ptCount val="5"/>
                <c:pt idx="0">
                  <c:v>06/07</c:v>
                </c:pt>
                <c:pt idx="1">
                  <c:v>07/08</c:v>
                </c:pt>
                <c:pt idx="2">
                  <c:v>08/09</c:v>
                </c:pt>
                <c:pt idx="3">
                  <c:v>09/10</c:v>
                </c:pt>
                <c:pt idx="4">
                  <c:v>10/11</c:v>
                </c:pt>
              </c:strCache>
            </c:strRef>
          </c:cat>
          <c:val>
            <c:numRef>
              <c:f>WA!$BV$68:$BZ$68</c:f>
              <c:numCache>
                <c:formatCode>#,##0</c:formatCode>
                <c:ptCount val="5"/>
                <c:pt idx="0">
                  <c:v>198.34340347066686</c:v>
                </c:pt>
                <c:pt idx="1">
                  <c:v>203.0778860587846</c:v>
                </c:pt>
                <c:pt idx="2">
                  <c:v>207.81236864690237</c:v>
                </c:pt>
                <c:pt idx="3">
                  <c:v>158.76531421399099</c:v>
                </c:pt>
                <c:pt idx="4">
                  <c:v>158.76531421399099</c:v>
                </c:pt>
              </c:numCache>
            </c:numRef>
          </c:val>
        </c:ser>
        <c:dLbls/>
        <c:axId val="121588736"/>
        <c:axId val="121594624"/>
      </c:areaChart>
      <c:catAx>
        <c:axId val="121588736"/>
        <c:scaling>
          <c:orientation val="minMax"/>
        </c:scaling>
        <c:axPos val="b"/>
        <c:tickLblPos val="nextTo"/>
        <c:crossAx val="121594624"/>
        <c:crosses val="autoZero"/>
        <c:auto val="1"/>
        <c:lblAlgn val="ctr"/>
        <c:lblOffset val="100"/>
      </c:catAx>
      <c:valAx>
        <c:axId val="121594624"/>
        <c:scaling>
          <c:orientation val="minMax"/>
          <c:max val="8000"/>
        </c:scaling>
        <c:axPos val="l"/>
        <c:majorGridlines/>
        <c:title>
          <c:tx>
            <c:rich>
              <a:bodyPr rot="-5400000" vert="horz"/>
              <a:lstStyle/>
              <a:p>
                <a:pPr>
                  <a:defRPr/>
                </a:pPr>
                <a:r>
                  <a:rPr lang="en-US"/>
                  <a:t>Millions of tonnes</a:t>
                </a:r>
              </a:p>
            </c:rich>
          </c:tx>
        </c:title>
        <c:numFmt formatCode="0," sourceLinked="0"/>
        <c:tickLblPos val="nextTo"/>
        <c:crossAx val="121588736"/>
        <c:crosses val="autoZero"/>
        <c:crossBetween val="midCat"/>
      </c:valAx>
    </c:plotArea>
    <c:legend>
      <c:legendPos val="t"/>
    </c:legend>
    <c:plotVisOnly val="1"/>
    <c:dispBlanksAs val="zero"/>
  </c:chart>
  <c:spPr>
    <a:ln>
      <a:noFill/>
    </a:ln>
  </c:spPr>
  <c:printSettings>
    <c:headerFooter/>
    <c:pageMargins b="0.75000000000000555" l="0.70000000000000062" r="0.70000000000000062" t="0.7500000000000055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WA!$BV$88</c:f>
              <c:strCache>
                <c:ptCount val="1"/>
                <c:pt idx="0">
                  <c:v>Disposal</c:v>
                </c:pt>
              </c:strCache>
            </c:strRef>
          </c:tx>
          <c:spPr>
            <a:solidFill>
              <a:srgbClr val="C0504D">
                <a:lumMod val="75000"/>
              </a:srgbClr>
            </a:solidFill>
          </c:spPr>
          <c:cat>
            <c:strRef>
              <c:f>WA!$BU$89:$BU$93</c:f>
              <c:strCache>
                <c:ptCount val="5"/>
                <c:pt idx="0">
                  <c:v>06/07</c:v>
                </c:pt>
                <c:pt idx="1">
                  <c:v>07/08</c:v>
                </c:pt>
                <c:pt idx="2">
                  <c:v>08/09</c:v>
                </c:pt>
                <c:pt idx="3">
                  <c:v>09/10</c:v>
                </c:pt>
                <c:pt idx="4">
                  <c:v>10/11</c:v>
                </c:pt>
              </c:strCache>
            </c:strRef>
          </c:cat>
          <c:val>
            <c:numRef>
              <c:f>WA!$BV$89:$BV$93</c:f>
              <c:numCache>
                <c:formatCode>#,##0</c:formatCode>
                <c:ptCount val="5"/>
                <c:pt idx="0">
                  <c:v>1170.4183204082867</c:v>
                </c:pt>
                <c:pt idx="1">
                  <c:v>1187.9259521680287</c:v>
                </c:pt>
                <c:pt idx="2">
                  <c:v>1205.433583927771</c:v>
                </c:pt>
                <c:pt idx="3">
                  <c:v>1601.0789484180268</c:v>
                </c:pt>
                <c:pt idx="4">
                  <c:v>1170.1380565558513</c:v>
                </c:pt>
              </c:numCache>
            </c:numRef>
          </c:val>
        </c:ser>
        <c:ser>
          <c:idx val="1"/>
          <c:order val="1"/>
          <c:tx>
            <c:strRef>
              <c:f>WA!$BW$88</c:f>
              <c:strCache>
                <c:ptCount val="1"/>
                <c:pt idx="0">
                  <c:v>Recycling</c:v>
                </c:pt>
              </c:strCache>
            </c:strRef>
          </c:tx>
          <c:spPr>
            <a:solidFill>
              <a:srgbClr val="FFCC00"/>
            </a:solidFill>
          </c:spPr>
          <c:cat>
            <c:strRef>
              <c:f>WA!$BU$89:$BU$93</c:f>
              <c:strCache>
                <c:ptCount val="5"/>
                <c:pt idx="0">
                  <c:v>06/07</c:v>
                </c:pt>
                <c:pt idx="1">
                  <c:v>07/08</c:v>
                </c:pt>
                <c:pt idx="2">
                  <c:v>08/09</c:v>
                </c:pt>
                <c:pt idx="3">
                  <c:v>09/10</c:v>
                </c:pt>
                <c:pt idx="4">
                  <c:v>10/11</c:v>
                </c:pt>
              </c:strCache>
            </c:strRef>
          </c:cat>
          <c:val>
            <c:numRef>
              <c:f>WA!$BW$89:$BW$93</c:f>
              <c:numCache>
                <c:formatCode>#,##0</c:formatCode>
                <c:ptCount val="5"/>
                <c:pt idx="0">
                  <c:v>343.64299999999997</c:v>
                </c:pt>
                <c:pt idx="1">
                  <c:v>385.71699999999998</c:v>
                </c:pt>
                <c:pt idx="2">
                  <c:v>427.791</c:v>
                </c:pt>
                <c:pt idx="3">
                  <c:v>485.66300000000001</c:v>
                </c:pt>
                <c:pt idx="4">
                  <c:v>577.62123863020065</c:v>
                </c:pt>
              </c:numCache>
            </c:numRef>
          </c:val>
        </c:ser>
        <c:ser>
          <c:idx val="2"/>
          <c:order val="2"/>
          <c:tx>
            <c:strRef>
              <c:f>WA!$BX$88</c:f>
              <c:strCache>
                <c:ptCount val="1"/>
                <c:pt idx="0">
                  <c:v>Energy recovery</c:v>
                </c:pt>
              </c:strCache>
            </c:strRef>
          </c:tx>
          <c:spPr>
            <a:solidFill>
              <a:schemeClr val="accent6">
                <a:lumMod val="75000"/>
              </a:schemeClr>
            </a:solidFill>
          </c:spPr>
          <c:cat>
            <c:strRef>
              <c:f>WA!$BU$89:$BU$93</c:f>
              <c:strCache>
                <c:ptCount val="5"/>
                <c:pt idx="0">
                  <c:v>06/07</c:v>
                </c:pt>
                <c:pt idx="1">
                  <c:v>07/08</c:v>
                </c:pt>
                <c:pt idx="2">
                  <c:v>08/09</c:v>
                </c:pt>
                <c:pt idx="3">
                  <c:v>09/10</c:v>
                </c:pt>
                <c:pt idx="4">
                  <c:v>10/11</c:v>
                </c:pt>
              </c:strCache>
            </c:strRef>
          </c:cat>
          <c:val>
            <c:numRef>
              <c:f>WA!$BX$89:$BX$93</c:f>
              <c:numCache>
                <c:formatCode>#,##0</c:formatCode>
                <c:ptCount val="5"/>
                <c:pt idx="0">
                  <c:v>158.8578333639158</c:v>
                </c:pt>
                <c:pt idx="1">
                  <c:v>162.68439319544407</c:v>
                </c:pt>
                <c:pt idx="2">
                  <c:v>166.51095302697235</c:v>
                </c:pt>
                <c:pt idx="3">
                  <c:v>126.38495367513013</c:v>
                </c:pt>
                <c:pt idx="4">
                  <c:v>126.38495367513013</c:v>
                </c:pt>
              </c:numCache>
            </c:numRef>
          </c:val>
        </c:ser>
        <c:dLbls/>
        <c:axId val="124718080"/>
        <c:axId val="124728064"/>
      </c:areaChart>
      <c:catAx>
        <c:axId val="124718080"/>
        <c:scaling>
          <c:orientation val="minMax"/>
        </c:scaling>
        <c:axPos val="b"/>
        <c:tickLblPos val="nextTo"/>
        <c:crossAx val="124728064"/>
        <c:crosses val="autoZero"/>
        <c:auto val="1"/>
        <c:lblAlgn val="ctr"/>
        <c:lblOffset val="100"/>
      </c:catAx>
      <c:valAx>
        <c:axId val="124728064"/>
        <c:scaling>
          <c:orientation val="minMax"/>
        </c:scaling>
        <c:axPos val="l"/>
        <c:majorGridlines/>
        <c:title>
          <c:tx>
            <c:rich>
              <a:bodyPr rot="-5400000" vert="horz"/>
              <a:lstStyle/>
              <a:p>
                <a:pPr>
                  <a:defRPr/>
                </a:pPr>
                <a:r>
                  <a:rPr lang="en-US"/>
                  <a:t>Thousands of tonnes</a:t>
                </a:r>
              </a:p>
            </c:rich>
          </c:tx>
          <c:layout>
            <c:manualLayout>
              <c:xMode val="edge"/>
              <c:yMode val="edge"/>
              <c:x val="1.9444444444444445E-2"/>
              <c:y val="0.30540422101846315"/>
            </c:manualLayout>
          </c:layout>
        </c:title>
        <c:numFmt formatCode="#,##0" sourceLinked="0"/>
        <c:tickLblPos val="nextTo"/>
        <c:crossAx val="124718080"/>
        <c:crosses val="autoZero"/>
        <c:crossBetween val="midCat"/>
        <c:majorUnit val="500"/>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74492069451749676"/>
        </c:manualLayout>
      </c:layout>
      <c:barChart>
        <c:barDir val="col"/>
        <c:grouping val="stacked"/>
        <c:ser>
          <c:idx val="0"/>
          <c:order val="0"/>
          <c:tx>
            <c:strRef>
              <c:f>Australia!$G$19</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Australia!$G$20:$G$27</c:f>
              <c:numCache>
                <c:formatCode>#,##0.00</c:formatCode>
                <c:ptCount val="8"/>
                <c:pt idx="0">
                  <c:v>0.54382893432813761</c:v>
                </c:pt>
                <c:pt idx="1">
                  <c:v>0.82589612561467329</c:v>
                </c:pt>
                <c:pt idx="2">
                  <c:v>1.1973307447028994</c:v>
                </c:pt>
                <c:pt idx="3">
                  <c:v>0.80345794974283147</c:v>
                </c:pt>
                <c:pt idx="4">
                  <c:v>0.53993457697631952</c:v>
                </c:pt>
                <c:pt idx="5">
                  <c:v>0.79518448021174115</c:v>
                </c:pt>
                <c:pt idx="6">
                  <c:v>0.82735214234230936</c:v>
                </c:pt>
                <c:pt idx="7">
                  <c:v>1.5719452805607879</c:v>
                </c:pt>
              </c:numCache>
            </c:numRef>
          </c:val>
        </c:ser>
        <c:ser>
          <c:idx val="1"/>
          <c:order val="1"/>
          <c:tx>
            <c:strRef>
              <c:f>Australia!$H$19</c:f>
              <c:strCache>
                <c:ptCount val="1"/>
                <c:pt idx="0">
                  <c:v>Recycling</c:v>
                </c:pt>
              </c:strCache>
            </c:strRef>
          </c:tx>
          <c:spPr>
            <a:solidFill>
              <a:srgbClr val="FFC000"/>
            </a:solidFill>
            <a:ln>
              <a:noFill/>
            </a:ln>
          </c:spPr>
          <c:dLbls>
            <c:txPr>
              <a:bodyPr/>
              <a:lstStyle/>
              <a:p>
                <a:pPr>
                  <a:defRPr>
                    <a:solidFill>
                      <a:schemeClr val="tx1"/>
                    </a:solidFill>
                  </a:defRPr>
                </a:pPr>
                <a:endParaRPr lang="en-US"/>
              </a:p>
            </c:txP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Australia!$H$20:$H$27</c:f>
              <c:numCache>
                <c:formatCode>#,##0.00</c:formatCode>
                <c:ptCount val="8"/>
                <c:pt idx="0">
                  <c:v>1.9303146472433077</c:v>
                </c:pt>
                <c:pt idx="1">
                  <c:v>1.4904734053108508</c:v>
                </c:pt>
                <c:pt idx="2">
                  <c:v>6.0639288601601483E-2</c:v>
                </c:pt>
                <c:pt idx="3">
                  <c:v>0.80224626302356206</c:v>
                </c:pt>
                <c:pt idx="4">
                  <c:v>1.7413377332148747</c:v>
                </c:pt>
                <c:pt idx="5">
                  <c:v>0.30747414661155842</c:v>
                </c:pt>
                <c:pt idx="6">
                  <c:v>1.3010730474568648</c:v>
                </c:pt>
                <c:pt idx="7">
                  <c:v>0.91699545590915632</c:v>
                </c:pt>
              </c:numCache>
            </c:numRef>
          </c:val>
        </c:ser>
        <c:ser>
          <c:idx val="2"/>
          <c:order val="2"/>
          <c:tx>
            <c:strRef>
              <c:f>Australia!$I$19</c:f>
              <c:strCache>
                <c:ptCount val="1"/>
                <c:pt idx="0">
                  <c:v>Energy recovery</c:v>
                </c:pt>
              </c:strCache>
            </c:strRef>
          </c:tx>
          <c:spPr>
            <a:solidFill>
              <a:schemeClr val="accent6">
                <a:lumMod val="75000"/>
              </a:schemeClr>
            </a:solidFill>
          </c:spPr>
          <c:dLbls>
            <c:dLbl>
              <c:idx val="2"/>
              <c:layout>
                <c:manualLayout>
                  <c:x val="3.4343434343434343E-2"/>
                  <c:y val="0"/>
                </c:manualLayout>
              </c:layout>
              <c:dLblPos val="ctr"/>
              <c:showVal val="1"/>
            </c:dLbl>
            <c:txPr>
              <a:bodyPr/>
              <a:lstStyle/>
              <a:p>
                <a:pPr>
                  <a:defRPr>
                    <a:solidFill>
                      <a:schemeClr val="tx1"/>
                    </a:solidFill>
                  </a:defRPr>
                </a:pPr>
                <a:endParaRPr lang="en-US"/>
              </a:p>
            </c:txPr>
            <c:dLblPos val="ct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Australia!$I$20:$I$27</c:f>
              <c:numCache>
                <c:formatCode>#,##0.00</c:formatCode>
                <c:ptCount val="8"/>
                <c:pt idx="0">
                  <c:v>8.5683190337686829E-2</c:v>
                </c:pt>
                <c:pt idx="1">
                  <c:v>6.7135664023171157E-2</c:v>
                </c:pt>
                <c:pt idx="2">
                  <c:v>5.9945451925489814E-2</c:v>
                </c:pt>
                <c:pt idx="3">
                  <c:v>7.7519015376476777E-2</c:v>
                </c:pt>
                <c:pt idx="4">
                  <c:v>8.3314255704724643E-2</c:v>
                </c:pt>
                <c:pt idx="5">
                  <c:v>7.8089710757513614E-2</c:v>
                </c:pt>
                <c:pt idx="6">
                  <c:v>5.4681109283555532E-2</c:v>
                </c:pt>
                <c:pt idx="7">
                  <c:v>6.8153213914230751E-2</c:v>
                </c:pt>
              </c:numCache>
            </c:numRef>
          </c:val>
        </c:ser>
        <c:ser>
          <c:idx val="3"/>
          <c:order val="3"/>
          <c:tx>
            <c:strRef>
              <c:f>Australia!$J$19</c:f>
              <c:strCache>
                <c:ptCount val="1"/>
                <c:pt idx="0">
                  <c:v>Recovery rate</c:v>
                </c:pt>
              </c:strCache>
            </c:strRef>
          </c:tx>
          <c:spPr>
            <a:noFill/>
            <a:ln>
              <a:noFill/>
            </a:ln>
          </c:spPr>
          <c:dLbls>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Australia!$J$20:$J$27</c:f>
              <c:numCache>
                <c:formatCode>0%</c:formatCode>
                <c:ptCount val="8"/>
                <c:pt idx="0">
                  <c:v>0.78755244679211356</c:v>
                </c:pt>
                <c:pt idx="1">
                  <c:v>0.65349514346980453</c:v>
                </c:pt>
                <c:pt idx="2">
                  <c:v>9.1496565507042313E-2</c:v>
                </c:pt>
                <c:pt idx="3">
                  <c:v>0.5233196131937794</c:v>
                </c:pt>
                <c:pt idx="4">
                  <c:v>0.77165793599451349</c:v>
                </c:pt>
                <c:pt idx="5">
                  <c:v>0.32654194386505597</c:v>
                </c:pt>
                <c:pt idx="6">
                  <c:v>0.62102067925417281</c:v>
                </c:pt>
                <c:pt idx="7">
                  <c:v>0.38526103809184625</c:v>
                </c:pt>
              </c:numCache>
            </c:numRef>
          </c:val>
        </c:ser>
        <c:dLbls/>
        <c:overlap val="100"/>
        <c:axId val="127256832"/>
        <c:axId val="127266816"/>
      </c:barChart>
      <c:catAx>
        <c:axId val="127256832"/>
        <c:scaling>
          <c:orientation val="minMax"/>
        </c:scaling>
        <c:axPos val="b"/>
        <c:majorTickMark val="none"/>
        <c:tickLblPos val="nextTo"/>
        <c:crossAx val="127266816"/>
        <c:crosses val="autoZero"/>
        <c:auto val="1"/>
        <c:lblAlgn val="ctr"/>
        <c:lblOffset val="100"/>
      </c:catAx>
      <c:valAx>
        <c:axId val="127266816"/>
        <c:scaling>
          <c:orientation val="minMax"/>
          <c:max val="3"/>
        </c:scaling>
        <c:axPos val="l"/>
        <c:majorGridlines/>
        <c:title>
          <c:tx>
            <c:rich>
              <a:bodyPr rot="-5400000" vert="horz"/>
              <a:lstStyle/>
              <a:p>
                <a:pPr>
                  <a:defRPr/>
                </a:pPr>
                <a:r>
                  <a:rPr lang="en-US" sz="1000" b="1" i="0" u="none" strike="noStrike" baseline="0"/>
                  <a:t>Tonnes per capita</a:t>
                </a:r>
                <a:endParaRPr lang="en-US"/>
              </a:p>
            </c:rich>
          </c:tx>
          <c:layout>
            <c:manualLayout>
              <c:xMode val="edge"/>
              <c:yMode val="edge"/>
              <c:x val="3.2214904955062434E-2"/>
              <c:y val="0.3189258729022586"/>
            </c:manualLayout>
          </c:layout>
        </c:title>
        <c:numFmt formatCode="#,##0" sourceLinked="0"/>
        <c:tickLblPos val="nextTo"/>
        <c:spPr>
          <a:ln>
            <a:noFill/>
          </a:ln>
        </c:spPr>
        <c:crossAx val="127256832"/>
        <c:crosses val="autoZero"/>
        <c:crossBetween val="between"/>
        <c:majorUnit val="1"/>
      </c:valAx>
    </c:plotArea>
    <c:legend>
      <c:legendPos val="t"/>
      <c:legendEntry>
        <c:idx val="3"/>
        <c:delete val="1"/>
      </c:legendEntry>
    </c:legend>
    <c:plotVisOnly val="1"/>
    <c:dispBlanksAs val="gap"/>
  </c:chart>
  <c:spPr>
    <a:ln>
      <a:noFill/>
    </a:ln>
  </c:spPr>
  <c:printSettings>
    <c:headerFooter/>
    <c:pageMargins b="0.75000000000000944" l="0.70000000000000062" r="0.70000000000000062" t="0.75000000000000944"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6568285214348205"/>
          <c:y val="5.1440233134044784E-2"/>
          <c:w val="0.64835870516185479"/>
          <c:h val="0.83249035782923841"/>
        </c:manualLayout>
      </c:layout>
      <c:lineChart>
        <c:grouping val="standard"/>
        <c:ser>
          <c:idx val="0"/>
          <c:order val="0"/>
          <c:tx>
            <c:strRef>
              <c:f>Australia!$N$55</c:f>
              <c:strCache>
                <c:ptCount val="1"/>
                <c:pt idx="0">
                  <c:v>ACT</c:v>
                </c:pt>
              </c:strCache>
            </c:strRef>
          </c:tx>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Australia!$O$55:$T$55</c:f>
              <c:numCache>
                <c:formatCode>#,##0.00</c:formatCode>
                <c:ptCount val="6"/>
                <c:pt idx="0">
                  <c:v>2.1723769383923552</c:v>
                </c:pt>
                <c:pt idx="1">
                  <c:v>2.1388360561123889</c:v>
                </c:pt>
                <c:pt idx="2">
                  <c:v>2.1052951738324222</c:v>
                </c:pt>
                <c:pt idx="3">
                  <c:v>2.0605531468717109</c:v>
                </c:pt>
                <c:pt idx="4">
                  <c:v>2.5598267719091323</c:v>
                </c:pt>
              </c:numCache>
            </c:numRef>
          </c:val>
        </c:ser>
        <c:ser>
          <c:idx val="1"/>
          <c:order val="1"/>
          <c:tx>
            <c:strRef>
              <c:f>Australia!$N$56</c:f>
              <c:strCache>
                <c:ptCount val="1"/>
                <c:pt idx="0">
                  <c:v>NSW</c:v>
                </c:pt>
              </c:strCache>
            </c:strRef>
          </c:tx>
          <c:spPr>
            <a:ln>
              <a:prstDash val="dash"/>
            </a:ln>
          </c:spPr>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Australia!$O$56:$T$56</c:f>
              <c:numCache>
                <c:formatCode>#,##0.00</c:formatCode>
                <c:ptCount val="6"/>
                <c:pt idx="0">
                  <c:v>2.2355157085962287</c:v>
                </c:pt>
                <c:pt idx="1">
                  <c:v>2.2731519452757567</c:v>
                </c:pt>
                <c:pt idx="2">
                  <c:v>2.3107881819552851</c:v>
                </c:pt>
                <c:pt idx="3">
                  <c:v>2.34714668845199</c:v>
                </c:pt>
                <c:pt idx="4">
                  <c:v>2.3835051949486949</c:v>
                </c:pt>
              </c:numCache>
            </c:numRef>
          </c:val>
        </c:ser>
        <c:ser>
          <c:idx val="2"/>
          <c:order val="2"/>
          <c:tx>
            <c:strRef>
              <c:f>Australia!$N$57</c:f>
              <c:strCache>
                <c:ptCount val="1"/>
                <c:pt idx="0">
                  <c:v>NT</c:v>
                </c:pt>
              </c:strCache>
            </c:strRef>
          </c:tx>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Australia!$O$57:$T$57</c:f>
              <c:numCache>
                <c:formatCode>#,##0.00</c:formatCode>
                <c:ptCount val="6"/>
                <c:pt idx="4">
                  <c:v>1.3179154852299906</c:v>
                </c:pt>
              </c:numCache>
            </c:numRef>
          </c:val>
        </c:ser>
        <c:ser>
          <c:idx val="3"/>
          <c:order val="3"/>
          <c:tx>
            <c:strRef>
              <c:f>Australia!$N$58</c:f>
              <c:strCache>
                <c:ptCount val="1"/>
                <c:pt idx="0">
                  <c:v>Qld</c:v>
                </c:pt>
              </c:strCache>
            </c:strRef>
          </c:tx>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Australia!$O$58:$T$58</c:f>
              <c:numCache>
                <c:formatCode>#,##0.00</c:formatCode>
                <c:ptCount val="6"/>
                <c:pt idx="2">
                  <c:v>1.8682056689817499</c:v>
                </c:pt>
                <c:pt idx="3">
                  <c:v>1.7196606845867359</c:v>
                </c:pt>
                <c:pt idx="4">
                  <c:v>1.6832232281428705</c:v>
                </c:pt>
                <c:pt idx="5">
                  <c:v>1.6098169304013608</c:v>
                </c:pt>
              </c:numCache>
            </c:numRef>
          </c:val>
        </c:ser>
        <c:ser>
          <c:idx val="4"/>
          <c:order val="4"/>
          <c:tx>
            <c:strRef>
              <c:f>Australia!$N$59</c:f>
              <c:strCache>
                <c:ptCount val="1"/>
                <c:pt idx="0">
                  <c:v>SA</c:v>
                </c:pt>
              </c:strCache>
            </c:strRef>
          </c:tx>
          <c:spPr>
            <a:ln>
              <a:prstDash val="dash"/>
            </a:ln>
          </c:spPr>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Australia!$O$59:$T$59</c:f>
              <c:numCache>
                <c:formatCode>#,##0.00</c:formatCode>
                <c:ptCount val="6"/>
                <c:pt idx="0">
                  <c:v>2.0332316044435861</c:v>
                </c:pt>
                <c:pt idx="1">
                  <c:v>2.0688145185327085</c:v>
                </c:pt>
                <c:pt idx="2">
                  <c:v>2.1043974326218309</c:v>
                </c:pt>
                <c:pt idx="3">
                  <c:v>2.0643843486060374</c:v>
                </c:pt>
                <c:pt idx="4">
                  <c:v>2.3645865658959186</c:v>
                </c:pt>
              </c:numCache>
            </c:numRef>
          </c:val>
        </c:ser>
        <c:ser>
          <c:idx val="5"/>
          <c:order val="5"/>
          <c:tx>
            <c:strRef>
              <c:f>Australia!$N$60</c:f>
              <c:strCache>
                <c:ptCount val="1"/>
                <c:pt idx="0">
                  <c:v>Tas</c:v>
                </c:pt>
              </c:strCache>
            </c:strRef>
          </c:tx>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Australia!$O$60:$T$60</c:f>
              <c:numCache>
                <c:formatCode>#,##0.00</c:formatCode>
                <c:ptCount val="6"/>
                <c:pt idx="0">
                  <c:v>1.0712463086784556</c:v>
                </c:pt>
                <c:pt idx="1">
                  <c:v>1.040584761049447</c:v>
                </c:pt>
                <c:pt idx="2">
                  <c:v>1.0099232134204386</c:v>
                </c:pt>
                <c:pt idx="3">
                  <c:v>1.0360293823882416</c:v>
                </c:pt>
                <c:pt idx="4">
                  <c:v>1.1807483375808132</c:v>
                </c:pt>
              </c:numCache>
            </c:numRef>
          </c:val>
        </c:ser>
        <c:ser>
          <c:idx val="6"/>
          <c:order val="6"/>
          <c:tx>
            <c:strRef>
              <c:f>Australia!$N$61</c:f>
              <c:strCache>
                <c:ptCount val="1"/>
                <c:pt idx="0">
                  <c:v>Vic</c:v>
                </c:pt>
              </c:strCache>
            </c:strRef>
          </c:tx>
          <c:spPr>
            <a:ln>
              <a:solidFill>
                <a:srgbClr val="FF0000"/>
              </a:solidFill>
            </a:ln>
          </c:spPr>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Australia!$O$61:$T$61</c:f>
              <c:numCache>
                <c:formatCode>#,##0.00</c:formatCode>
                <c:ptCount val="6"/>
                <c:pt idx="0">
                  <c:v>2.130116868618412</c:v>
                </c:pt>
                <c:pt idx="1">
                  <c:v>2.0335177973667697</c:v>
                </c:pt>
                <c:pt idx="2">
                  <c:v>1.9369187261151273</c:v>
                </c:pt>
                <c:pt idx="3">
                  <c:v>2.1394137756577529</c:v>
                </c:pt>
                <c:pt idx="4">
                  <c:v>2.1831062990827297</c:v>
                </c:pt>
              </c:numCache>
            </c:numRef>
          </c:val>
        </c:ser>
        <c:ser>
          <c:idx val="7"/>
          <c:order val="7"/>
          <c:tx>
            <c:strRef>
              <c:f>Australia!$N$62</c:f>
              <c:strCache>
                <c:ptCount val="1"/>
                <c:pt idx="0">
                  <c:v>WA</c:v>
                </c:pt>
              </c:strCache>
            </c:strRef>
          </c:tx>
          <c:marker>
            <c:symbol val="none"/>
          </c:marker>
          <c:cat>
            <c:strRef>
              <c:f>Australia!$O$54:$T$54</c:f>
              <c:strCache>
                <c:ptCount val="6"/>
                <c:pt idx="0">
                  <c:v>2006/07</c:v>
                </c:pt>
                <c:pt idx="1">
                  <c:v>2007/08</c:v>
                </c:pt>
                <c:pt idx="2">
                  <c:v>2008/09</c:v>
                </c:pt>
                <c:pt idx="3">
                  <c:v>2009/10</c:v>
                </c:pt>
                <c:pt idx="4">
                  <c:v>2010/11</c:v>
                </c:pt>
                <c:pt idx="5">
                  <c:v>2011/12</c:v>
                </c:pt>
              </c:strCache>
            </c:strRef>
          </c:cat>
          <c:val>
            <c:numRef>
              <c:f>Australia!$O$62:$T$62</c:f>
              <c:numCache>
                <c:formatCode>#,##0.00</c:formatCode>
                <c:ptCount val="6"/>
                <c:pt idx="0">
                  <c:v>2.5842599194585425</c:v>
                </c:pt>
                <c:pt idx="1">
                  <c:v>2.5461450463692601</c:v>
                </c:pt>
                <c:pt idx="2">
                  <c:v>2.5080301732799777</c:v>
                </c:pt>
                <c:pt idx="3">
                  <c:v>3.0654059388028325</c:v>
                </c:pt>
                <c:pt idx="4">
                  <c:v>2.557093950384175</c:v>
                </c:pt>
              </c:numCache>
            </c:numRef>
          </c:val>
        </c:ser>
        <c:dLbls/>
        <c:marker val="1"/>
        <c:axId val="131911040"/>
        <c:axId val="131941504"/>
      </c:lineChart>
      <c:catAx>
        <c:axId val="131911040"/>
        <c:scaling>
          <c:orientation val="minMax"/>
        </c:scaling>
        <c:axPos val="b"/>
        <c:tickLblPos val="nextTo"/>
        <c:crossAx val="131941504"/>
        <c:crosses val="autoZero"/>
        <c:auto val="1"/>
        <c:lblAlgn val="ctr"/>
        <c:lblOffset val="100"/>
      </c:catAx>
      <c:valAx>
        <c:axId val="131941504"/>
        <c:scaling>
          <c:orientation val="minMax"/>
          <c:max val="3.5"/>
          <c:min val="0"/>
        </c:scaling>
        <c:axPos val="l"/>
        <c:majorGridlines/>
        <c:title>
          <c:tx>
            <c:rich>
              <a:bodyPr rot="-5400000" vert="horz"/>
              <a:lstStyle/>
              <a:p>
                <a:pPr>
                  <a:defRPr/>
                </a:pPr>
                <a:r>
                  <a:rPr lang="en-US"/>
                  <a:t>Tonnes per capita</a:t>
                </a:r>
              </a:p>
            </c:rich>
          </c:tx>
          <c:layout>
            <c:manualLayout>
              <c:xMode val="edge"/>
              <c:yMode val="edge"/>
              <c:x val="3.0555555555555582E-2"/>
              <c:y val="0.28260060618353905"/>
            </c:manualLayout>
          </c:layout>
        </c:title>
        <c:numFmt formatCode="#,##0.00" sourceLinked="1"/>
        <c:tickLblPos val="nextTo"/>
        <c:spPr>
          <a:ln>
            <a:noFill/>
          </a:ln>
        </c:spPr>
        <c:crossAx val="131911040"/>
        <c:crosses val="autoZero"/>
        <c:crossBetween val="between"/>
        <c:majorUnit val="0.5"/>
      </c:valAx>
    </c:plotArea>
    <c:legend>
      <c:legendPos val="r"/>
      <c:legendEntry>
        <c:idx val="2"/>
        <c:delete val="1"/>
      </c:legendEntry>
    </c:legend>
    <c:plotVisOnly val="1"/>
    <c:dispBlanksAs val="gap"/>
  </c:chart>
  <c:spPr>
    <a:ln>
      <a:noFill/>
    </a:ln>
  </c:spPr>
  <c:printSettings>
    <c:headerFooter/>
    <c:pageMargins b="0.75000000000000477" l="0.70000000000000062" r="0.70000000000000062" t="0.75000000000000477"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23"/>
        </c:manualLayout>
      </c:layout>
      <c:barChart>
        <c:barDir val="col"/>
        <c:grouping val="stacked"/>
        <c:ser>
          <c:idx val="0"/>
          <c:order val="0"/>
          <c:tx>
            <c:strRef>
              <c:f>Australia!$N$72</c:f>
              <c:strCache>
                <c:ptCount val="1"/>
                <c:pt idx="0">
                  <c:v>Disposal</c:v>
                </c:pt>
              </c:strCache>
            </c:strRef>
          </c:tx>
          <c:spPr>
            <a:solidFill>
              <a:schemeClr val="accent2">
                <a:lumMod val="75000"/>
              </a:schemeClr>
            </a:solidFill>
          </c:spPr>
          <c:cat>
            <c:strRef>
              <c:f>Australia!$M$73:$M$81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Australia!$N$73:$N$81</c:f>
              <c:numCache>
                <c:formatCode>#,##0</c:formatCode>
                <c:ptCount val="9"/>
                <c:pt idx="0">
                  <c:v>4549.4702065590727</c:v>
                </c:pt>
                <c:pt idx="1">
                  <c:v>492.35473770158757</c:v>
                </c:pt>
                <c:pt idx="2">
                  <c:v>6624.8536081148322</c:v>
                </c:pt>
                <c:pt idx="3">
                  <c:v>1719.0333388542394</c:v>
                </c:pt>
                <c:pt idx="4">
                  <c:v>1879.2681138240084</c:v>
                </c:pt>
                <c:pt idx="5">
                  <c:v>440.44032578239188</c:v>
                </c:pt>
                <c:pt idx="6">
                  <c:v>540.88589085661999</c:v>
                </c:pt>
                <c:pt idx="7">
                  <c:v>2255.8995638332062</c:v>
                </c:pt>
                <c:pt idx="8">
                  <c:v>7662.8905000000004</c:v>
                </c:pt>
              </c:numCache>
            </c:numRef>
          </c:val>
        </c:ser>
        <c:ser>
          <c:idx val="1"/>
          <c:order val="1"/>
          <c:tx>
            <c:strRef>
              <c:f>Australia!$O$72</c:f>
              <c:strCache>
                <c:ptCount val="1"/>
                <c:pt idx="0">
                  <c:v>Recycling</c:v>
                </c:pt>
              </c:strCache>
            </c:strRef>
          </c:tx>
          <c:spPr>
            <a:solidFill>
              <a:srgbClr val="FFCC00"/>
            </a:solidFill>
          </c:spPr>
          <c:cat>
            <c:strRef>
              <c:f>Australia!$M$73:$M$81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Australia!$O$73:$O$81</c:f>
              <c:numCache>
                <c:formatCode>#,##0</c:formatCode>
                <c:ptCount val="9"/>
                <c:pt idx="0">
                  <c:v>10632.466764139583</c:v>
                </c:pt>
                <c:pt idx="1">
                  <c:v>5095.5394463749471</c:v>
                </c:pt>
                <c:pt idx="2">
                  <c:v>6141.785617079544</c:v>
                </c:pt>
                <c:pt idx="3">
                  <c:v>3063.2824418280347</c:v>
                </c:pt>
                <c:pt idx="4">
                  <c:v>292.35793700000005</c:v>
                </c:pt>
                <c:pt idx="5">
                  <c:v>623.41882778016316</c:v>
                </c:pt>
                <c:pt idx="6">
                  <c:v>434.95158583144018</c:v>
                </c:pt>
                <c:pt idx="7">
                  <c:v>79.293000000000006</c:v>
                </c:pt>
                <c:pt idx="8">
                  <c:v>5938.3060000000005</c:v>
                </c:pt>
              </c:numCache>
            </c:numRef>
          </c:val>
        </c:ser>
        <c:ser>
          <c:idx val="2"/>
          <c:order val="2"/>
          <c:tx>
            <c:strRef>
              <c:f>Australia!$P$72</c:f>
              <c:strCache>
                <c:ptCount val="1"/>
                <c:pt idx="0">
                  <c:v>Energy recovery</c:v>
                </c:pt>
              </c:strCache>
            </c:strRef>
          </c:tx>
          <c:spPr>
            <a:solidFill>
              <a:schemeClr val="accent6">
                <a:lumMod val="75000"/>
              </a:schemeClr>
            </a:solidFill>
          </c:spPr>
          <c:cat>
            <c:strRef>
              <c:f>Australia!$M$73:$M$81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Australia!$P$73:$P$81</c:f>
              <c:numCache>
                <c:formatCode>#,##0</c:formatCode>
                <c:ptCount val="9"/>
                <c:pt idx="0">
                  <c:v>0</c:v>
                </c:pt>
                <c:pt idx="1">
                  <c:v>0</c:v>
                </c:pt>
                <c:pt idx="2">
                  <c:v>1243.8707233651476</c:v>
                </c:pt>
                <c:pt idx="3">
                  <c:v>181.61776202156304</c:v>
                </c:pt>
                <c:pt idx="4">
                  <c:v>16.5</c:v>
                </c:pt>
                <c:pt idx="5">
                  <c:v>0</c:v>
                </c:pt>
                <c:pt idx="6">
                  <c:v>67.057150839046656</c:v>
                </c:pt>
                <c:pt idx="7">
                  <c:v>10.265000000000001</c:v>
                </c:pt>
                <c:pt idx="8">
                  <c:v>0</c:v>
                </c:pt>
              </c:numCache>
            </c:numRef>
          </c:val>
        </c:ser>
        <c:ser>
          <c:idx val="3"/>
          <c:order val="3"/>
          <c:tx>
            <c:strRef>
              <c:f>Australia!$Q$72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639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764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56E-2"/>
                </c:manualLayout>
              </c:layout>
              <c:showVal val="1"/>
            </c:dLbl>
            <c:showVal val="1"/>
          </c:dLbls>
          <c:cat>
            <c:strRef>
              <c:f>Australia!$M$73:$M$81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Australia!$Q$73:$Q$81</c:f>
              <c:numCache>
                <c:formatCode>0%</c:formatCode>
                <c:ptCount val="9"/>
                <c:pt idx="0">
                  <c:v>0.70033664246270999</c:v>
                </c:pt>
                <c:pt idx="1">
                  <c:v>0.91188903699990964</c:v>
                </c:pt>
                <c:pt idx="2">
                  <c:v>0.52715114350309855</c:v>
                </c:pt>
                <c:pt idx="3">
                  <c:v>0.65369533575224126</c:v>
                </c:pt>
                <c:pt idx="4">
                  <c:v>0.14115180287885598</c:v>
                </c:pt>
                <c:pt idx="5">
                  <c:v>0.5859975220333582</c:v>
                </c:pt>
                <c:pt idx="6">
                  <c:v>0.48136093850712508</c:v>
                </c:pt>
                <c:pt idx="7">
                  <c:v>3.8183594272170253E-2</c:v>
                </c:pt>
                <c:pt idx="8">
                  <c:v>0.43660173573699929</c:v>
                </c:pt>
              </c:numCache>
            </c:numRef>
          </c:val>
        </c:ser>
        <c:dLbls/>
        <c:overlap val="100"/>
        <c:axId val="131998848"/>
        <c:axId val="132000384"/>
      </c:barChart>
      <c:catAx>
        <c:axId val="131998848"/>
        <c:scaling>
          <c:orientation val="minMax"/>
        </c:scaling>
        <c:axPos val="b"/>
        <c:majorTickMark val="none"/>
        <c:tickLblPos val="nextTo"/>
        <c:crossAx val="132000384"/>
        <c:crosses val="autoZero"/>
        <c:auto val="1"/>
        <c:lblAlgn val="ctr"/>
        <c:lblOffset val="100"/>
      </c:catAx>
      <c:valAx>
        <c:axId val="132000384"/>
        <c:scaling>
          <c:orientation val="minMax"/>
          <c:max val="16000"/>
          <c:min val="0"/>
        </c:scaling>
        <c:axPos val="l"/>
        <c:majorGridlines/>
        <c:title>
          <c:tx>
            <c:rich>
              <a:bodyPr rot="-5400000" vert="horz"/>
              <a:lstStyle/>
              <a:p>
                <a:pPr>
                  <a:defRPr/>
                </a:pPr>
                <a:r>
                  <a:rPr lang="en-US" sz="1000" b="1" i="0" u="none" strike="noStrike" baseline="0"/>
                  <a:t>Millions</a:t>
                </a:r>
                <a:r>
                  <a:rPr lang="en-US"/>
                  <a:t> of tonnes</a:t>
                </a:r>
              </a:p>
            </c:rich>
          </c:tx>
          <c:layout>
            <c:manualLayout>
              <c:xMode val="edge"/>
              <c:yMode val="edge"/>
              <c:x val="3.2214904955062434E-2"/>
              <c:y val="0.3189258729022586"/>
            </c:manualLayout>
          </c:layout>
        </c:title>
        <c:numFmt formatCode="0," sourceLinked="0"/>
        <c:tickLblPos val="nextTo"/>
        <c:spPr>
          <a:ln>
            <a:noFill/>
          </a:ln>
        </c:spPr>
        <c:crossAx val="131998848"/>
        <c:crosses val="autoZero"/>
        <c:crossBetween val="between"/>
      </c:valAx>
    </c:plotArea>
    <c:legend>
      <c:legendPos val="t"/>
      <c:legendEntry>
        <c:idx val="3"/>
        <c:delete val="1"/>
      </c:legendEntry>
    </c:legend>
    <c:plotVisOnly val="1"/>
    <c:dispBlanksAs val="gap"/>
  </c:chart>
  <c:spPr>
    <a:ln>
      <a:noFill/>
    </a:ln>
  </c:spPr>
  <c:printSettings>
    <c:headerFooter/>
    <c:pageMargins b="0.75000000000000944" l="0.70000000000000062" r="0.70000000000000062" t="0.750000000000009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ACT!$BV$88</c:f>
              <c:strCache>
                <c:ptCount val="1"/>
                <c:pt idx="0">
                  <c:v>Disposal</c:v>
                </c:pt>
              </c:strCache>
            </c:strRef>
          </c:tx>
          <c:spPr>
            <a:solidFill>
              <a:srgbClr val="C0504D">
                <a:lumMod val="75000"/>
              </a:srgbClr>
            </a:solidFill>
          </c:spPr>
          <c:cat>
            <c:strRef>
              <c:f>ACT!$BU$89:$BU$93</c:f>
              <c:strCache>
                <c:ptCount val="5"/>
                <c:pt idx="0">
                  <c:v>06/07</c:v>
                </c:pt>
                <c:pt idx="1">
                  <c:v>07/08</c:v>
                </c:pt>
                <c:pt idx="2">
                  <c:v>08/09</c:v>
                </c:pt>
                <c:pt idx="3">
                  <c:v>09/10</c:v>
                </c:pt>
                <c:pt idx="4">
                  <c:v>10/11</c:v>
                </c:pt>
              </c:strCache>
            </c:strRef>
          </c:cat>
          <c:val>
            <c:numRef>
              <c:f>ACT!$BV$89:$BV$93</c:f>
              <c:numCache>
                <c:formatCode>#,##0</c:formatCode>
                <c:ptCount val="5"/>
                <c:pt idx="0">
                  <c:v>64.927419990627385</c:v>
                </c:pt>
                <c:pt idx="1">
                  <c:v>62.349960798638925</c:v>
                </c:pt>
                <c:pt idx="2">
                  <c:v>59.772501606650465</c:v>
                </c:pt>
                <c:pt idx="3">
                  <c:v>53.736425255302137</c:v>
                </c:pt>
                <c:pt idx="4">
                  <c:v>73.797147717449846</c:v>
                </c:pt>
              </c:numCache>
            </c:numRef>
          </c:val>
        </c:ser>
        <c:ser>
          <c:idx val="1"/>
          <c:order val="1"/>
          <c:tx>
            <c:strRef>
              <c:f>ACT!$BW$88</c:f>
              <c:strCache>
                <c:ptCount val="1"/>
                <c:pt idx="0">
                  <c:v>Recycling</c:v>
                </c:pt>
              </c:strCache>
            </c:strRef>
          </c:tx>
          <c:spPr>
            <a:solidFill>
              <a:srgbClr val="FFCC00"/>
            </a:solidFill>
          </c:spPr>
          <c:cat>
            <c:strRef>
              <c:f>ACT!$BU$89:$BU$93</c:f>
              <c:strCache>
                <c:ptCount val="5"/>
                <c:pt idx="0">
                  <c:v>06/07</c:v>
                </c:pt>
                <c:pt idx="1">
                  <c:v>07/08</c:v>
                </c:pt>
                <c:pt idx="2">
                  <c:v>08/09</c:v>
                </c:pt>
                <c:pt idx="3">
                  <c:v>09/10</c:v>
                </c:pt>
                <c:pt idx="4">
                  <c:v>10/11</c:v>
                </c:pt>
              </c:strCache>
            </c:strRef>
          </c:cat>
          <c:val>
            <c:numRef>
              <c:f>ACT!$BW$89:$BW$93</c:f>
              <c:numCache>
                <c:formatCode>#,##0</c:formatCode>
                <c:ptCount val="5"/>
                <c:pt idx="0">
                  <c:v>271.44221668875298</c:v>
                </c:pt>
                <c:pt idx="1">
                  <c:v>258.16898234923752</c:v>
                </c:pt>
                <c:pt idx="2">
                  <c:v>244.89574800972207</c:v>
                </c:pt>
                <c:pt idx="3">
                  <c:v>235.07738262775953</c:v>
                </c:pt>
                <c:pt idx="4">
                  <c:v>327.17314519137472</c:v>
                </c:pt>
              </c:numCache>
            </c:numRef>
          </c:val>
        </c:ser>
        <c:ser>
          <c:idx val="2"/>
          <c:order val="2"/>
          <c:tx>
            <c:strRef>
              <c:f>ACT!$BX$88</c:f>
              <c:strCache>
                <c:ptCount val="1"/>
                <c:pt idx="0">
                  <c:v>Energy recovery</c:v>
                </c:pt>
              </c:strCache>
            </c:strRef>
          </c:tx>
          <c:spPr>
            <a:solidFill>
              <a:schemeClr val="accent6">
                <a:lumMod val="75000"/>
              </a:schemeClr>
            </a:solidFill>
          </c:spPr>
          <c:cat>
            <c:strRef>
              <c:f>ACT!$BU$89:$BU$93</c:f>
              <c:strCache>
                <c:ptCount val="5"/>
                <c:pt idx="0">
                  <c:v>06/07</c:v>
                </c:pt>
                <c:pt idx="1">
                  <c:v>07/08</c:v>
                </c:pt>
                <c:pt idx="2">
                  <c:v>08/09</c:v>
                </c:pt>
                <c:pt idx="3">
                  <c:v>09/10</c:v>
                </c:pt>
                <c:pt idx="4">
                  <c:v>10/11</c:v>
                </c:pt>
              </c:strCache>
            </c:strRef>
          </c:cat>
          <c:val>
            <c:numRef>
              <c:f>ACT!$BX$89:$BX$93</c:f>
              <c:numCache>
                <c:formatCode>#,##0</c:formatCode>
                <c:ptCount val="5"/>
                <c:pt idx="0">
                  <c:v>25.302363931114431</c:v>
                </c:pt>
                <c:pt idx="1">
                  <c:v>22.83241607341504</c:v>
                </c:pt>
                <c:pt idx="2">
                  <c:v>20.362468215715648</c:v>
                </c:pt>
                <c:pt idx="3">
                  <c:v>18.828664549564785</c:v>
                </c:pt>
                <c:pt idx="4">
                  <c:v>19.880605909833569</c:v>
                </c:pt>
              </c:numCache>
            </c:numRef>
          </c:val>
        </c:ser>
        <c:dLbls/>
        <c:axId val="52751360"/>
        <c:axId val="54579968"/>
      </c:areaChart>
      <c:catAx>
        <c:axId val="52751360"/>
        <c:scaling>
          <c:orientation val="minMax"/>
        </c:scaling>
        <c:axPos val="b"/>
        <c:tickLblPos val="nextTo"/>
        <c:crossAx val="54579968"/>
        <c:crosses val="autoZero"/>
        <c:auto val="1"/>
        <c:lblAlgn val="ctr"/>
        <c:lblOffset val="100"/>
      </c:catAx>
      <c:valAx>
        <c:axId val="54579968"/>
        <c:scaling>
          <c:orientation val="minMax"/>
        </c:scaling>
        <c:axPos val="l"/>
        <c:majorGridlines/>
        <c:title>
          <c:tx>
            <c:rich>
              <a:bodyPr rot="-5400000" vert="horz"/>
              <a:lstStyle/>
              <a:p>
                <a:pPr>
                  <a:defRPr/>
                </a:pPr>
                <a:r>
                  <a:rPr lang="en-US"/>
                  <a:t>Thousands of tonnes</a:t>
                </a:r>
              </a:p>
            </c:rich>
          </c:tx>
          <c:layout>
            <c:manualLayout>
              <c:xMode val="edge"/>
              <c:yMode val="edge"/>
              <c:x val="1.9444444444444445E-2"/>
              <c:y val="0.30540422101846337"/>
            </c:manualLayout>
          </c:layout>
        </c:title>
        <c:numFmt formatCode="General" sourceLinked="0"/>
        <c:tickLblPos val="nextTo"/>
        <c:crossAx val="52751360"/>
        <c:crosses val="autoZero"/>
        <c:crossBetween val="midCat"/>
      </c:valAx>
    </c:plotArea>
    <c:legend>
      <c:legendPos val="t"/>
    </c:legend>
    <c:plotVisOnly val="1"/>
    <c:dispBlanksAs val="zero"/>
  </c:chart>
  <c:spPr>
    <a:ln>
      <a:noFill/>
    </a:ln>
  </c:spPr>
  <c:printSettings>
    <c:headerFooter/>
    <c:pageMargins b="0.750000000000006" l="0.70000000000000062" r="0.70000000000000062" t="0.750000000000006"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56"/>
          <c:y val="0.16317884983295219"/>
          <c:w val="0.78381714785651757"/>
          <c:h val="0.72063954730382318"/>
        </c:manualLayout>
      </c:layout>
      <c:barChart>
        <c:barDir val="col"/>
        <c:grouping val="stacked"/>
        <c:ser>
          <c:idx val="0"/>
          <c:order val="0"/>
          <c:tx>
            <c:strRef>
              <c:f>Australia!$M$93</c:f>
              <c:strCache>
                <c:ptCount val="1"/>
                <c:pt idx="0">
                  <c:v>Disposal</c:v>
                </c:pt>
              </c:strCache>
            </c:strRef>
          </c:tx>
          <c:spPr>
            <a:solidFill>
              <a:schemeClr val="accent2">
                <a:lumMod val="75000"/>
              </a:schemeClr>
            </a:solidFill>
          </c:spPr>
          <c:cat>
            <c:strRef>
              <c:f>Australia!$N$92:$P$92</c:f>
              <c:strCache>
                <c:ptCount val="3"/>
                <c:pt idx="0">
                  <c:v>MSW</c:v>
                </c:pt>
                <c:pt idx="1">
                  <c:v>C&amp;I</c:v>
                </c:pt>
                <c:pt idx="2">
                  <c:v>C&amp;D</c:v>
                </c:pt>
              </c:strCache>
            </c:strRef>
          </c:cat>
          <c:val>
            <c:numRef>
              <c:f>Australia!$N$93:$P$93</c:f>
              <c:numCache>
                <c:formatCode>#,##0.00</c:formatCode>
                <c:ptCount val="3"/>
                <c:pt idx="0">
                  <c:v>6.8128686903756694</c:v>
                </c:pt>
                <c:pt idx="1">
                  <c:v>6.2324537233598516</c:v>
                </c:pt>
                <c:pt idx="2">
                  <c:v>6.2548783331128197</c:v>
                </c:pt>
              </c:numCache>
            </c:numRef>
          </c:val>
        </c:ser>
        <c:ser>
          <c:idx val="1"/>
          <c:order val="1"/>
          <c:tx>
            <c:strRef>
              <c:f>Australia!$M$94</c:f>
              <c:strCache>
                <c:ptCount val="1"/>
                <c:pt idx="0">
                  <c:v>Recycling</c:v>
                </c:pt>
              </c:strCache>
            </c:strRef>
          </c:tx>
          <c:spPr>
            <a:solidFill>
              <a:srgbClr val="FFCC00"/>
            </a:solidFill>
          </c:spPr>
          <c:cat>
            <c:strRef>
              <c:f>Australia!$N$92:$P$92</c:f>
              <c:strCache>
                <c:ptCount val="3"/>
                <c:pt idx="0">
                  <c:v>MSW</c:v>
                </c:pt>
                <c:pt idx="1">
                  <c:v>C&amp;I</c:v>
                </c:pt>
                <c:pt idx="2">
                  <c:v>C&amp;D</c:v>
                </c:pt>
              </c:strCache>
            </c:strRef>
          </c:cat>
          <c:val>
            <c:numRef>
              <c:f>Australia!$N$94:$P$94</c:f>
              <c:numCache>
                <c:formatCode>#,##0.00</c:formatCode>
                <c:ptCount val="3"/>
                <c:pt idx="0">
                  <c:v>6.3407578179191004</c:v>
                </c:pt>
                <c:pt idx="1">
                  <c:v>8.3773744962778842</c:v>
                </c:pt>
                <c:pt idx="2">
                  <c:v>11.890621552803015</c:v>
                </c:pt>
              </c:numCache>
            </c:numRef>
          </c:val>
        </c:ser>
        <c:ser>
          <c:idx val="2"/>
          <c:order val="2"/>
          <c:tx>
            <c:strRef>
              <c:f>Australia!$M$95</c:f>
              <c:strCache>
                <c:ptCount val="1"/>
                <c:pt idx="0">
                  <c:v>Energy recovery</c:v>
                </c:pt>
              </c:strCache>
            </c:strRef>
          </c:tx>
          <c:spPr>
            <a:solidFill>
              <a:schemeClr val="accent6">
                <a:lumMod val="75000"/>
              </a:schemeClr>
            </a:solidFill>
          </c:spPr>
          <c:dLbls>
            <c:dLbl>
              <c:idx val="2"/>
              <c:layout>
                <c:manualLayout>
                  <c:x val="-2.6657011371210362E-3"/>
                  <c:y val="1.7514710232722636E-2"/>
                </c:manualLayout>
              </c:layout>
              <c:dLblPos val="ctr"/>
              <c:showVal val="1"/>
            </c:dLbl>
            <c:dLblPos val="ctr"/>
            <c:showVal val="1"/>
          </c:dLbls>
          <c:cat>
            <c:strRef>
              <c:f>Australia!$N$92:$P$92</c:f>
              <c:strCache>
                <c:ptCount val="3"/>
                <c:pt idx="0">
                  <c:v>MSW</c:v>
                </c:pt>
                <c:pt idx="1">
                  <c:v>C&amp;I</c:v>
                </c:pt>
                <c:pt idx="2">
                  <c:v>C&amp;D</c:v>
                </c:pt>
              </c:strCache>
            </c:strRef>
          </c:cat>
          <c:val>
            <c:numRef>
              <c:f>Australia!$N$95:$P$95</c:f>
              <c:numCache>
                <c:formatCode>#,##0.00</c:formatCode>
                <c:ptCount val="3"/>
                <c:pt idx="0">
                  <c:v>0.88385771492235266</c:v>
                </c:pt>
                <c:pt idx="1">
                  <c:v>0.55614395281699569</c:v>
                </c:pt>
                <c:pt idx="2">
                  <c:v>5.994433024272916E-2</c:v>
                </c:pt>
              </c:numCache>
            </c:numRef>
          </c:val>
        </c:ser>
        <c:ser>
          <c:idx val="3"/>
          <c:order val="3"/>
          <c:tx>
            <c:strRef>
              <c:f>Australia!$M$96</c:f>
              <c:strCache>
                <c:ptCount val="1"/>
                <c:pt idx="0">
                  <c:v>Recovery rate</c:v>
                </c:pt>
              </c:strCache>
            </c:strRef>
          </c:tx>
          <c:spPr>
            <a:noFill/>
            <a:ln>
              <a:noFill/>
            </a:ln>
          </c:spPr>
          <c:dLbls>
            <c:dLbl>
              <c:idx val="0"/>
              <c:layout>
                <c:manualLayout>
                  <c:x val="2.6657011371209391E-3"/>
                  <c:y val="-4.8166401297493222E-2"/>
                </c:manualLayout>
              </c:layout>
              <c:dLblPos val="ctr"/>
              <c:showVal val="1"/>
            </c:dLbl>
            <c:dLbl>
              <c:idx val="1"/>
              <c:layout>
                <c:manualLayout>
                  <c:x val="0"/>
                  <c:y val="-5.692392880612835E-2"/>
                </c:manualLayout>
              </c:layout>
              <c:dLblPos val="ctr"/>
              <c:showVal val="1"/>
            </c:dLbl>
            <c:dLbl>
              <c:idx val="2"/>
              <c:layout>
                <c:manualLayout>
                  <c:x val="-2.0989772723461617E-7"/>
                  <c:y val="-4.8166401297493222E-2"/>
                </c:manualLayout>
              </c:layout>
              <c:dLblPos val="ctr"/>
              <c:showVal val="1"/>
            </c:dLbl>
            <c:dLblPos val="ctr"/>
            <c:showVal val="1"/>
          </c:dLbls>
          <c:cat>
            <c:strRef>
              <c:f>Australia!$N$92:$P$92</c:f>
              <c:strCache>
                <c:ptCount val="3"/>
                <c:pt idx="0">
                  <c:v>MSW</c:v>
                </c:pt>
                <c:pt idx="1">
                  <c:v>C&amp;I</c:v>
                </c:pt>
                <c:pt idx="2">
                  <c:v>C&amp;D</c:v>
                </c:pt>
              </c:strCache>
            </c:strRef>
          </c:cat>
          <c:val>
            <c:numRef>
              <c:f>Australia!$N$96:$P$96</c:f>
              <c:numCache>
                <c:formatCode>0%</c:formatCode>
                <c:ptCount val="3"/>
                <c:pt idx="0">
                  <c:v>0.51466597703400363</c:v>
                </c:pt>
                <c:pt idx="1">
                  <c:v>0.58905016754022699</c:v>
                </c:pt>
                <c:pt idx="2">
                  <c:v>0.65642813990986315</c:v>
                </c:pt>
              </c:numCache>
            </c:numRef>
          </c:val>
        </c:ser>
        <c:dLbls>
          <c:showVal val="1"/>
        </c:dLbls>
        <c:overlap val="100"/>
        <c:axId val="132045440"/>
        <c:axId val="139415936"/>
      </c:barChart>
      <c:catAx>
        <c:axId val="132045440"/>
        <c:scaling>
          <c:orientation val="minMax"/>
        </c:scaling>
        <c:axPos val="b"/>
        <c:majorTickMark val="none"/>
        <c:tickLblPos val="nextTo"/>
        <c:crossAx val="139415936"/>
        <c:crosses val="autoZero"/>
        <c:auto val="1"/>
        <c:lblAlgn val="ctr"/>
        <c:lblOffset val="100"/>
      </c:catAx>
      <c:valAx>
        <c:axId val="139415936"/>
        <c:scaling>
          <c:orientation val="minMax"/>
          <c:max val="20"/>
          <c:min val="0"/>
        </c:scaling>
        <c:axPos val="l"/>
        <c:majorGridlines/>
        <c:title>
          <c:tx>
            <c:rich>
              <a:bodyPr rot="-5400000" vert="horz"/>
              <a:lstStyle/>
              <a:p>
                <a:pPr>
                  <a:defRPr/>
                </a:pPr>
                <a:r>
                  <a:rPr lang="en-US"/>
                  <a:t>Millions of tonnes</a:t>
                </a:r>
              </a:p>
            </c:rich>
          </c:tx>
          <c:layout>
            <c:manualLayout>
              <c:xMode val="edge"/>
              <c:yMode val="edge"/>
              <c:x val="2.6154289363295433E-2"/>
              <c:y val="0.31387539680482945"/>
            </c:manualLayout>
          </c:layout>
        </c:title>
        <c:numFmt formatCode="0," sourceLinked="0"/>
        <c:tickLblPos val="nextTo"/>
        <c:spPr>
          <a:ln>
            <a:noFill/>
          </a:ln>
        </c:spPr>
        <c:crossAx val="132045440"/>
        <c:crosses val="autoZero"/>
        <c:crossBetween val="between"/>
        <c:majorUnit val="2"/>
        <c:minorUnit val="0.4"/>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Australia!$N$34</c:f>
              <c:strCache>
                <c:ptCount val="1"/>
                <c:pt idx="0">
                  <c:v>Disposal</c:v>
                </c:pt>
              </c:strCache>
            </c:strRef>
          </c:tx>
          <c:spPr>
            <a:solidFill>
              <a:srgbClr val="C0504D">
                <a:lumMod val="75000"/>
              </a:srgbClr>
            </a:solidFill>
          </c:spPr>
          <c:cat>
            <c:strRef>
              <c:f>Australia!$O$33:$S$33</c:f>
              <c:strCache>
                <c:ptCount val="5"/>
                <c:pt idx="0">
                  <c:v>2006/07</c:v>
                </c:pt>
                <c:pt idx="1">
                  <c:v>2007/08</c:v>
                </c:pt>
                <c:pt idx="2">
                  <c:v>2008/09</c:v>
                </c:pt>
                <c:pt idx="3">
                  <c:v>2009/10</c:v>
                </c:pt>
                <c:pt idx="4">
                  <c:v>2010/11</c:v>
                </c:pt>
              </c:strCache>
            </c:strRef>
          </c:cat>
          <c:val>
            <c:numRef>
              <c:f>Australia!$O$34:$S$34</c:f>
              <c:numCache>
                <c:formatCode>#,##0.0</c:formatCode>
                <c:ptCount val="5"/>
                <c:pt idx="0">
                  <c:v>21.540479535247925</c:v>
                </c:pt>
                <c:pt idx="1">
                  <c:v>21.002020332012066</c:v>
                </c:pt>
                <c:pt idx="2">
                  <c:v>20.46356112877621</c:v>
                </c:pt>
                <c:pt idx="3">
                  <c:v>21.264492343506141</c:v>
                </c:pt>
                <c:pt idx="4">
                  <c:v>19.49870578552596</c:v>
                </c:pt>
              </c:numCache>
            </c:numRef>
          </c:val>
        </c:ser>
        <c:ser>
          <c:idx val="1"/>
          <c:order val="1"/>
          <c:tx>
            <c:strRef>
              <c:f>Australia!$N$35</c:f>
              <c:strCache>
                <c:ptCount val="1"/>
                <c:pt idx="0">
                  <c:v>Recycling</c:v>
                </c:pt>
              </c:strCache>
            </c:strRef>
          </c:tx>
          <c:spPr>
            <a:solidFill>
              <a:srgbClr val="FFCC00"/>
            </a:solidFill>
          </c:spPr>
          <c:cat>
            <c:strRef>
              <c:f>Australia!$O$33:$S$33</c:f>
              <c:strCache>
                <c:ptCount val="5"/>
                <c:pt idx="0">
                  <c:v>2006/07</c:v>
                </c:pt>
                <c:pt idx="1">
                  <c:v>2007/08</c:v>
                </c:pt>
                <c:pt idx="2">
                  <c:v>2008/09</c:v>
                </c:pt>
                <c:pt idx="3">
                  <c:v>2009/10</c:v>
                </c:pt>
                <c:pt idx="4">
                  <c:v>2010/11</c:v>
                </c:pt>
              </c:strCache>
            </c:strRef>
          </c:cat>
          <c:val>
            <c:numRef>
              <c:f>Australia!$O$35:$S$35</c:f>
              <c:numCache>
                <c:formatCode>#,##0.0</c:formatCode>
                <c:ptCount val="5"/>
                <c:pt idx="0">
                  <c:v>21.43076783713072</c:v>
                </c:pt>
                <c:pt idx="1">
                  <c:v>22.39486986402251</c:v>
                </c:pt>
                <c:pt idx="2">
                  <c:v>23.358971890914304</c:v>
                </c:pt>
                <c:pt idx="3">
                  <c:v>25.126464271633132</c:v>
                </c:pt>
                <c:pt idx="4">
                  <c:v>27.313345255070203</c:v>
                </c:pt>
              </c:numCache>
            </c:numRef>
          </c:val>
        </c:ser>
        <c:ser>
          <c:idx val="2"/>
          <c:order val="2"/>
          <c:tx>
            <c:strRef>
              <c:f>Australia!$N$36</c:f>
              <c:strCache>
                <c:ptCount val="1"/>
                <c:pt idx="0">
                  <c:v>Energy recovery</c:v>
                </c:pt>
              </c:strCache>
            </c:strRef>
          </c:tx>
          <c:spPr>
            <a:solidFill>
              <a:schemeClr val="accent6">
                <a:lumMod val="75000"/>
              </a:schemeClr>
            </a:solidFill>
          </c:spPr>
          <c:cat>
            <c:strRef>
              <c:f>Australia!$O$33:$S$33</c:f>
              <c:strCache>
                <c:ptCount val="5"/>
                <c:pt idx="0">
                  <c:v>2006/07</c:v>
                </c:pt>
                <c:pt idx="1">
                  <c:v>2007/08</c:v>
                </c:pt>
                <c:pt idx="2">
                  <c:v>2008/09</c:v>
                </c:pt>
                <c:pt idx="3">
                  <c:v>2009/10</c:v>
                </c:pt>
                <c:pt idx="4">
                  <c:v>2010/11</c:v>
                </c:pt>
              </c:strCache>
            </c:strRef>
          </c:cat>
          <c:val>
            <c:numRef>
              <c:f>Australia!$O$36:$S$36</c:f>
              <c:numCache>
                <c:formatCode>#,##0.00</c:formatCode>
                <c:ptCount val="5"/>
                <c:pt idx="0">
                  <c:v>1.3187269606495688</c:v>
                </c:pt>
                <c:pt idx="1">
                  <c:v>1.3870320196807393</c:v>
                </c:pt>
                <c:pt idx="2">
                  <c:v>1.45533707871191</c:v>
                </c:pt>
                <c:pt idx="3">
                  <c:v>1.4727095408304951</c:v>
                </c:pt>
                <c:pt idx="4">
                  <c:v>1.5193106362257571</c:v>
                </c:pt>
              </c:numCache>
            </c:numRef>
          </c:val>
        </c:ser>
        <c:dLbls/>
        <c:axId val="139451392"/>
        <c:axId val="140583680"/>
      </c:areaChart>
      <c:catAx>
        <c:axId val="139451392"/>
        <c:scaling>
          <c:orientation val="minMax"/>
        </c:scaling>
        <c:axPos val="b"/>
        <c:tickLblPos val="nextTo"/>
        <c:crossAx val="140583680"/>
        <c:crosses val="autoZero"/>
        <c:auto val="1"/>
        <c:lblAlgn val="ctr"/>
        <c:lblOffset val="100"/>
      </c:catAx>
      <c:valAx>
        <c:axId val="140583680"/>
        <c:scaling>
          <c:orientation val="minMax"/>
          <c:max val="50"/>
        </c:scaling>
        <c:axPos val="l"/>
        <c:majorGridlines/>
        <c:title>
          <c:tx>
            <c:rich>
              <a:bodyPr rot="-5400000" vert="horz"/>
              <a:lstStyle/>
              <a:p>
                <a:pPr>
                  <a:defRPr/>
                </a:pPr>
                <a:r>
                  <a:rPr lang="en-US"/>
                  <a:t>Millions of tonnes</a:t>
                </a:r>
              </a:p>
            </c:rich>
          </c:tx>
          <c:layout>
            <c:manualLayout>
              <c:xMode val="edge"/>
              <c:yMode val="edge"/>
              <c:x val="1.6666666666666701E-2"/>
              <c:y val="0.30113345678575043"/>
            </c:manualLayout>
          </c:layout>
        </c:title>
        <c:numFmt formatCode="#,##0" sourceLinked="0"/>
        <c:tickLblPos val="nextTo"/>
        <c:crossAx val="139451392"/>
        <c:crosses val="autoZero"/>
        <c:crossBetween val="midCat"/>
        <c:majorUnit val="10"/>
      </c:valAx>
    </c:plotArea>
    <c:legend>
      <c:legendPos val="t"/>
      <c:layout>
        <c:manualLayout>
          <c:xMode val="edge"/>
          <c:yMode val="edge"/>
          <c:x val="8.4212683470904992E-2"/>
          <c:y val="0"/>
          <c:w val="0.7927876338495059"/>
          <c:h val="0.10223562098035405"/>
        </c:manualLayout>
      </c:layout>
    </c:legend>
    <c:plotVisOnly val="1"/>
    <c:dispBlanksAs val="zero"/>
  </c:chart>
  <c:spPr>
    <a:ln>
      <a:noFill/>
    </a:ln>
  </c:spPr>
  <c:printSettings>
    <c:headerFooter/>
    <c:pageMargins b="0.75000000000000555" l="0.70000000000000062" r="0.70000000000000062" t="0.75000000000000555"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Australia!$N$44</c:f>
              <c:strCache>
                <c:ptCount val="1"/>
                <c:pt idx="0">
                  <c:v>Disposal</c:v>
                </c:pt>
              </c:strCache>
            </c:strRef>
          </c:tx>
          <c:spPr>
            <a:solidFill>
              <a:srgbClr val="C0504D">
                <a:lumMod val="75000"/>
              </a:srgbClr>
            </a:solidFill>
          </c:spPr>
          <c:cat>
            <c:strRef>
              <c:f>Australia!$O$43:$S$43</c:f>
              <c:strCache>
                <c:ptCount val="5"/>
                <c:pt idx="0">
                  <c:v>2006/07</c:v>
                </c:pt>
                <c:pt idx="1">
                  <c:v>2007/08</c:v>
                </c:pt>
                <c:pt idx="2">
                  <c:v>2008/09</c:v>
                </c:pt>
                <c:pt idx="3">
                  <c:v>2009/10</c:v>
                </c:pt>
                <c:pt idx="4">
                  <c:v>2010/11</c:v>
                </c:pt>
              </c:strCache>
            </c:strRef>
          </c:cat>
          <c:val>
            <c:numRef>
              <c:f>Australia!$O$44:$S$44</c:f>
              <c:numCache>
                <c:formatCode>#,##0.00</c:formatCode>
                <c:ptCount val="5"/>
                <c:pt idx="0">
                  <c:v>1.0309826006413236</c:v>
                </c:pt>
                <c:pt idx="1">
                  <c:v>0.98839170778949192</c:v>
                </c:pt>
                <c:pt idx="2">
                  <c:v>0.94580081493766033</c:v>
                </c:pt>
                <c:pt idx="3">
                  <c:v>0.96810563659586502</c:v>
                </c:pt>
                <c:pt idx="4">
                  <c:v>0.8774475438247914</c:v>
                </c:pt>
              </c:numCache>
            </c:numRef>
          </c:val>
        </c:ser>
        <c:ser>
          <c:idx val="1"/>
          <c:order val="1"/>
          <c:tx>
            <c:strRef>
              <c:f>Australia!$N$45</c:f>
              <c:strCache>
                <c:ptCount val="1"/>
                <c:pt idx="0">
                  <c:v>Recycling</c:v>
                </c:pt>
              </c:strCache>
            </c:strRef>
          </c:tx>
          <c:spPr>
            <a:solidFill>
              <a:srgbClr val="FFCC00"/>
            </a:solidFill>
          </c:spPr>
          <c:cat>
            <c:strRef>
              <c:f>Australia!$O$43:$S$43</c:f>
              <c:strCache>
                <c:ptCount val="5"/>
                <c:pt idx="0">
                  <c:v>2006/07</c:v>
                </c:pt>
                <c:pt idx="1">
                  <c:v>2007/08</c:v>
                </c:pt>
                <c:pt idx="2">
                  <c:v>2008/09</c:v>
                </c:pt>
                <c:pt idx="3">
                  <c:v>2009/10</c:v>
                </c:pt>
                <c:pt idx="4">
                  <c:v>2010/11</c:v>
                </c:pt>
              </c:strCache>
            </c:strRef>
          </c:cat>
          <c:val>
            <c:numRef>
              <c:f>Australia!$O$45:$S$45</c:f>
              <c:numCache>
                <c:formatCode>#,##0.00</c:formatCode>
                <c:ptCount val="5"/>
                <c:pt idx="0">
                  <c:v>1.025731517365273</c:v>
                </c:pt>
                <c:pt idx="1">
                  <c:v>1.0526773416105266</c:v>
                </c:pt>
                <c:pt idx="2">
                  <c:v>1.07962316585578</c:v>
                </c:pt>
                <c:pt idx="3">
                  <c:v>1.1439291047322446</c:v>
                </c:pt>
                <c:pt idx="4">
                  <c:v>1.2291086378404683</c:v>
                </c:pt>
              </c:numCache>
            </c:numRef>
          </c:val>
        </c:ser>
        <c:ser>
          <c:idx val="2"/>
          <c:order val="2"/>
          <c:tx>
            <c:strRef>
              <c:f>Australia!$N$46</c:f>
              <c:strCache>
                <c:ptCount val="1"/>
                <c:pt idx="0">
                  <c:v>Energy recovery</c:v>
                </c:pt>
              </c:strCache>
            </c:strRef>
          </c:tx>
          <c:spPr>
            <a:solidFill>
              <a:schemeClr val="accent6">
                <a:lumMod val="75000"/>
              </a:schemeClr>
            </a:solidFill>
          </c:spPr>
          <c:cat>
            <c:strRef>
              <c:f>Australia!$O$43:$S$43</c:f>
              <c:strCache>
                <c:ptCount val="5"/>
                <c:pt idx="0">
                  <c:v>2006/07</c:v>
                </c:pt>
                <c:pt idx="1">
                  <c:v>2007/08</c:v>
                </c:pt>
                <c:pt idx="2">
                  <c:v>2008/09</c:v>
                </c:pt>
                <c:pt idx="3">
                  <c:v>2009/10</c:v>
                </c:pt>
                <c:pt idx="4">
                  <c:v>2010/11</c:v>
                </c:pt>
              </c:strCache>
            </c:strRef>
          </c:cat>
          <c:val>
            <c:numRef>
              <c:f>Australia!$O$46:$S$46</c:f>
              <c:numCache>
                <c:formatCode>#,##0.0000</c:formatCode>
                <c:ptCount val="5"/>
                <c:pt idx="0">
                  <c:v>6.3117654795082662E-2</c:v>
                </c:pt>
                <c:pt idx="1">
                  <c:v>6.5190779001485732E-2</c:v>
                </c:pt>
                <c:pt idx="2">
                  <c:v>6.7263903207888789E-2</c:v>
                </c:pt>
                <c:pt idx="3">
                  <c:v>6.7047845982643919E-2</c:v>
                </c:pt>
                <c:pt idx="4">
                  <c:v>6.8369429270159751E-2</c:v>
                </c:pt>
              </c:numCache>
            </c:numRef>
          </c:val>
        </c:ser>
        <c:dLbls/>
        <c:axId val="140614656"/>
        <c:axId val="140636928"/>
      </c:areaChart>
      <c:catAx>
        <c:axId val="140614656"/>
        <c:scaling>
          <c:orientation val="minMax"/>
        </c:scaling>
        <c:axPos val="b"/>
        <c:tickLblPos val="nextTo"/>
        <c:crossAx val="140636928"/>
        <c:crosses val="autoZero"/>
        <c:auto val="1"/>
        <c:lblAlgn val="ctr"/>
        <c:lblOffset val="100"/>
      </c:catAx>
      <c:valAx>
        <c:axId val="140636928"/>
        <c:scaling>
          <c:orientation val="minMax"/>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140614656"/>
        <c:crosses val="autoZero"/>
        <c:crossBetween val="midCat"/>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45"/>
          <c:y val="0.16317884983295219"/>
          <c:w val="0.78381714785651757"/>
          <c:h val="0.72063954730382285"/>
        </c:manualLayout>
      </c:layout>
      <c:barChart>
        <c:barDir val="col"/>
        <c:grouping val="stacked"/>
        <c:ser>
          <c:idx val="0"/>
          <c:order val="0"/>
          <c:tx>
            <c:strRef>
              <c:f>Australia!$N$34</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(WA!$BH$7,WA!$BM$7)</c:f>
              <c:strCache>
                <c:ptCount val="2"/>
                <c:pt idx="0">
                  <c:v>2010/11 excl. fly ash</c:v>
                </c:pt>
                <c:pt idx="1">
                  <c:v>2010/11 incl. fly ash</c:v>
                </c:pt>
              </c:strCache>
            </c:strRef>
          </c:cat>
          <c:val>
            <c:numRef>
              <c:f>Australia!$S$34:$T$34</c:f>
              <c:numCache>
                <c:formatCode>_-* #,##0.0_-;\-* #,##0.0_-;_-* "-"??_-;_-@_-</c:formatCode>
                <c:ptCount val="2"/>
                <c:pt idx="0" formatCode="#,##0.0">
                  <c:v>19.49870578552596</c:v>
                </c:pt>
                <c:pt idx="1">
                  <c:v>27.161596285525956</c:v>
                </c:pt>
              </c:numCache>
            </c:numRef>
          </c:val>
        </c:ser>
        <c:ser>
          <c:idx val="1"/>
          <c:order val="1"/>
          <c:tx>
            <c:strRef>
              <c:f>Australia!$N$35</c:f>
              <c:strCache>
                <c:ptCount val="1"/>
                <c:pt idx="0">
                  <c:v>Recycling</c:v>
                </c:pt>
              </c:strCache>
            </c:strRef>
          </c:tx>
          <c:spPr>
            <a:solidFill>
              <a:srgbClr val="FFCC00"/>
            </a:solidFill>
          </c:spPr>
          <c:dLbls>
            <c:showVal val="1"/>
          </c:dLbls>
          <c:cat>
            <c:strRef>
              <c:f>(WA!$BH$7,WA!$BM$7)</c:f>
              <c:strCache>
                <c:ptCount val="2"/>
                <c:pt idx="0">
                  <c:v>2010/11 excl. fly ash</c:v>
                </c:pt>
                <c:pt idx="1">
                  <c:v>2010/11 incl. fly ash</c:v>
                </c:pt>
              </c:strCache>
            </c:strRef>
          </c:cat>
          <c:val>
            <c:numRef>
              <c:f>Australia!$S$35:$T$35</c:f>
              <c:numCache>
                <c:formatCode>_-* #,##0.0_-;\-* #,##0.0_-;_-* "-"??_-;_-@_-</c:formatCode>
                <c:ptCount val="2"/>
                <c:pt idx="0" formatCode="#,##0.0">
                  <c:v>27.313345255070203</c:v>
                </c:pt>
                <c:pt idx="1">
                  <c:v>33.251651255070207</c:v>
                </c:pt>
              </c:numCache>
            </c:numRef>
          </c:val>
        </c:ser>
        <c:ser>
          <c:idx val="2"/>
          <c:order val="2"/>
          <c:tx>
            <c:strRef>
              <c:f>Australia!$N$36</c:f>
              <c:strCache>
                <c:ptCount val="1"/>
                <c:pt idx="0">
                  <c:v>Energy recovery</c:v>
                </c:pt>
              </c:strCache>
            </c:strRef>
          </c:tx>
          <c:spPr>
            <a:solidFill>
              <a:schemeClr val="accent6">
                <a:lumMod val="75000"/>
              </a:schemeClr>
            </a:solidFill>
          </c:spPr>
          <c:dLbls>
            <c:dLbl>
              <c:idx val="0"/>
              <c:layout>
                <c:manualLayout>
                  <c:x val="-2.1371375521569907E-7"/>
                  <c:y val="9.2753640123910096E-3"/>
                </c:manualLayout>
              </c:layout>
              <c:showVal val="1"/>
            </c:dLbl>
            <c:dLbl>
              <c:idx val="1"/>
              <c:layout>
                <c:manualLayout>
                  <c:x val="-2.1371375521569907E-7"/>
                  <c:y val="9.2753640123910547E-3"/>
                </c:manualLayout>
              </c:layout>
              <c:showVal val="1"/>
            </c:dLbl>
            <c:showVal val="1"/>
          </c:dLbls>
          <c:cat>
            <c:strRef>
              <c:f>(SA!$BH$7,SA!$BM$7)</c:f>
              <c:strCache>
                <c:ptCount val="2"/>
                <c:pt idx="0">
                  <c:v>2010/11 excl. fly ash</c:v>
                </c:pt>
                <c:pt idx="1">
                  <c:v>2010/11 incl. fly ash</c:v>
                </c:pt>
              </c:strCache>
            </c:strRef>
          </c:cat>
          <c:val>
            <c:numRef>
              <c:f>Australia!$S$36:$T$36</c:f>
              <c:numCache>
                <c:formatCode>_-* #,##0.00_-;\-* #,##0.00_-;_-* "-"??_-;_-@_-</c:formatCode>
                <c:ptCount val="2"/>
                <c:pt idx="0" formatCode="#,##0.00">
                  <c:v>1.5193106362257571</c:v>
                </c:pt>
                <c:pt idx="1">
                  <c:v>1.5193106362257571</c:v>
                </c:pt>
              </c:numCache>
            </c:numRef>
          </c:val>
        </c:ser>
        <c:ser>
          <c:idx val="3"/>
          <c:order val="3"/>
          <c:tx>
            <c:strRef>
              <c:f>Australia!$N$37</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(WA!$BH$7,WA!$BM$7)</c:f>
              <c:strCache>
                <c:ptCount val="2"/>
                <c:pt idx="0">
                  <c:v>2010/11 excl. fly ash</c:v>
                </c:pt>
                <c:pt idx="1">
                  <c:v>2010/11 incl. fly ash</c:v>
                </c:pt>
              </c:strCache>
            </c:strRef>
          </c:cat>
          <c:val>
            <c:numRef>
              <c:f>Australia!$S$37:$T$37</c:f>
              <c:numCache>
                <c:formatCode>0%</c:formatCode>
                <c:ptCount val="2"/>
                <c:pt idx="0">
                  <c:v>0.59656204358759313</c:v>
                </c:pt>
                <c:pt idx="1">
                  <c:v>0.56143267636422134</c:v>
                </c:pt>
              </c:numCache>
            </c:numRef>
          </c:val>
        </c:ser>
        <c:dLbls/>
        <c:overlap val="100"/>
        <c:axId val="142022528"/>
        <c:axId val="142024064"/>
      </c:barChart>
      <c:catAx>
        <c:axId val="142022528"/>
        <c:scaling>
          <c:orientation val="minMax"/>
        </c:scaling>
        <c:axPos val="b"/>
        <c:majorTickMark val="none"/>
        <c:tickLblPos val="nextTo"/>
        <c:crossAx val="142024064"/>
        <c:crosses val="autoZero"/>
        <c:auto val="1"/>
        <c:lblAlgn val="ctr"/>
        <c:lblOffset val="100"/>
      </c:catAx>
      <c:valAx>
        <c:axId val="142024064"/>
        <c:scaling>
          <c:orientation val="minMax"/>
        </c:scaling>
        <c:axPos val="l"/>
        <c:majorGridlines/>
        <c:title>
          <c:tx>
            <c:rich>
              <a:bodyPr rot="-5400000" vert="horz"/>
              <a:lstStyle/>
              <a:p>
                <a:pPr>
                  <a:defRPr/>
                </a:pPr>
                <a:r>
                  <a:rPr lang="en-US"/>
                  <a:t>Millions of tonnes</a:t>
                </a:r>
              </a:p>
            </c:rich>
          </c:tx>
          <c:layout>
            <c:manualLayout>
              <c:xMode val="edge"/>
              <c:yMode val="edge"/>
              <c:x val="2.3249919429915136E-2"/>
              <c:y val="0.25832765186856632"/>
            </c:manualLayout>
          </c:layout>
        </c:title>
        <c:numFmt formatCode="#,##0" sourceLinked="0"/>
        <c:tickLblPos val="nextTo"/>
        <c:spPr>
          <a:ln>
            <a:noFill/>
          </a:ln>
        </c:spPr>
        <c:crossAx val="142022528"/>
        <c:crosses val="autoZero"/>
        <c:crossBetween val="between"/>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56"/>
          <c:y val="0.16317884983295219"/>
          <c:w val="0.78381714785651757"/>
          <c:h val="0.72063954730382318"/>
        </c:manualLayout>
      </c:layout>
      <c:barChart>
        <c:barDir val="col"/>
        <c:grouping val="stacked"/>
        <c:ser>
          <c:idx val="0"/>
          <c:order val="0"/>
          <c:tx>
            <c:strRef>
              <c:f>Australia!$N$34</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(WA!$BH$7,WA!$BM$7)</c:f>
              <c:strCache>
                <c:ptCount val="2"/>
                <c:pt idx="0">
                  <c:v>2010/11 excl. fly ash</c:v>
                </c:pt>
                <c:pt idx="1">
                  <c:v>2010/11 incl. fly ash</c:v>
                </c:pt>
              </c:strCache>
            </c:strRef>
          </c:cat>
          <c:val>
            <c:numRef>
              <c:f>Australia!$S$44:$T$44</c:f>
              <c:numCache>
                <c:formatCode>_-* #,##0.00_-;\-* #,##0.00_-;_-* "-"??_-;_-@_-</c:formatCode>
                <c:ptCount val="2"/>
                <c:pt idx="0" formatCode="#,##0.00">
                  <c:v>0.8774475438247914</c:v>
                </c:pt>
                <c:pt idx="1">
                  <c:v>1.2222798892009876</c:v>
                </c:pt>
              </c:numCache>
            </c:numRef>
          </c:val>
        </c:ser>
        <c:ser>
          <c:idx val="1"/>
          <c:order val="1"/>
          <c:tx>
            <c:strRef>
              <c:f>Australia!$N$35</c:f>
              <c:strCache>
                <c:ptCount val="1"/>
                <c:pt idx="0">
                  <c:v>Recycling</c:v>
                </c:pt>
              </c:strCache>
            </c:strRef>
          </c:tx>
          <c:spPr>
            <a:solidFill>
              <a:srgbClr val="FFCC00"/>
            </a:solidFill>
          </c:spPr>
          <c:dLbls>
            <c:showVal val="1"/>
          </c:dLbls>
          <c:cat>
            <c:strRef>
              <c:f>(WA!$BH$7,WA!$BM$7)</c:f>
              <c:strCache>
                <c:ptCount val="2"/>
                <c:pt idx="0">
                  <c:v>2010/11 excl. fly ash</c:v>
                </c:pt>
                <c:pt idx="1">
                  <c:v>2010/11 incl. fly ash</c:v>
                </c:pt>
              </c:strCache>
            </c:strRef>
          </c:cat>
          <c:val>
            <c:numRef>
              <c:f>Australia!$S$45:$T$45</c:f>
              <c:numCache>
                <c:formatCode>_-* #,##0.00_-;\-* #,##0.00_-;_-* "-"??_-;_-@_-</c:formatCode>
                <c:ptCount val="2"/>
                <c:pt idx="0" formatCode="#,##0.00">
                  <c:v>1.2291086378404683</c:v>
                </c:pt>
                <c:pt idx="1">
                  <c:v>1.4963341691907521</c:v>
                </c:pt>
              </c:numCache>
            </c:numRef>
          </c:val>
        </c:ser>
        <c:ser>
          <c:idx val="2"/>
          <c:order val="2"/>
          <c:tx>
            <c:strRef>
              <c:f>Australia!$N$36</c:f>
              <c:strCache>
                <c:ptCount val="1"/>
                <c:pt idx="0">
                  <c:v>Energy recovery</c:v>
                </c:pt>
              </c:strCache>
            </c:strRef>
          </c:tx>
          <c:spPr>
            <a:solidFill>
              <a:schemeClr val="accent6">
                <a:lumMod val="75000"/>
              </a:schemeClr>
            </a:solidFill>
          </c:spPr>
          <c:dLbls>
            <c:dLbl>
              <c:idx val="0"/>
              <c:layout>
                <c:manualLayout>
                  <c:x val="-2.1371375521569952E-7"/>
                  <c:y val="9.2753640123910096E-3"/>
                </c:manualLayout>
              </c:layout>
              <c:showVal val="1"/>
            </c:dLbl>
            <c:dLbl>
              <c:idx val="1"/>
              <c:layout>
                <c:manualLayout>
                  <c:x val="-2.1371375521569952E-7"/>
                  <c:y val="9.2753640123910547E-3"/>
                </c:manualLayout>
              </c:layout>
              <c:showVal val="1"/>
            </c:dLbl>
            <c:showVal val="1"/>
          </c:dLbls>
          <c:cat>
            <c:strRef>
              <c:f>(SA!$BH$7,SA!$BM$7)</c:f>
              <c:strCache>
                <c:ptCount val="2"/>
                <c:pt idx="0">
                  <c:v>2010/11 excl. fly ash</c:v>
                </c:pt>
                <c:pt idx="1">
                  <c:v>2010/11 incl. fly ash</c:v>
                </c:pt>
              </c:strCache>
            </c:strRef>
          </c:cat>
          <c:val>
            <c:numRef>
              <c:f>Australia!$S$46:$T$46</c:f>
              <c:numCache>
                <c:formatCode>_-* #,##0.0000_-;\-* #,##0.0000_-;_-* "-"??_-;_-@_-</c:formatCode>
                <c:ptCount val="2"/>
                <c:pt idx="0" formatCode="#,##0.0000">
                  <c:v>6.8369429270159751E-2</c:v>
                </c:pt>
                <c:pt idx="1">
                  <c:v>6.8369429270159751E-2</c:v>
                </c:pt>
              </c:numCache>
            </c:numRef>
          </c:val>
        </c:ser>
        <c:ser>
          <c:idx val="3"/>
          <c:order val="3"/>
          <c:tx>
            <c:strRef>
              <c:f>Australia!$N$47</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(WA!$BH$7,WA!$BM$7)</c:f>
              <c:strCache>
                <c:ptCount val="2"/>
                <c:pt idx="0">
                  <c:v>2010/11 excl. fly ash</c:v>
                </c:pt>
                <c:pt idx="1">
                  <c:v>2010/11 incl. fly ash</c:v>
                </c:pt>
              </c:strCache>
            </c:strRef>
          </c:cat>
          <c:val>
            <c:numRef>
              <c:f>Australia!$S$47:$T$47</c:f>
              <c:numCache>
                <c:formatCode>0%</c:formatCode>
                <c:ptCount val="2"/>
                <c:pt idx="0">
                  <c:v>0.59656204358759313</c:v>
                </c:pt>
                <c:pt idx="1">
                  <c:v>0.56143267636422134</c:v>
                </c:pt>
              </c:numCache>
            </c:numRef>
          </c:val>
        </c:ser>
        <c:dLbls/>
        <c:overlap val="100"/>
        <c:axId val="143211904"/>
        <c:axId val="143225984"/>
      </c:barChart>
      <c:catAx>
        <c:axId val="143211904"/>
        <c:scaling>
          <c:orientation val="minMax"/>
        </c:scaling>
        <c:axPos val="b"/>
        <c:majorTickMark val="none"/>
        <c:tickLblPos val="nextTo"/>
        <c:crossAx val="143225984"/>
        <c:crosses val="autoZero"/>
        <c:auto val="1"/>
        <c:lblAlgn val="ctr"/>
        <c:lblOffset val="100"/>
      </c:catAx>
      <c:valAx>
        <c:axId val="143225984"/>
        <c:scaling>
          <c:orientation val="minMax"/>
          <c:max val="3.5"/>
        </c:scaling>
        <c:axPos val="l"/>
        <c:majorGridlines/>
        <c:title>
          <c:tx>
            <c:rich>
              <a:bodyPr rot="-5400000" vert="horz"/>
              <a:lstStyle/>
              <a:p>
                <a:pPr>
                  <a:defRPr/>
                </a:pPr>
                <a:r>
                  <a:rPr lang="en-US"/>
                  <a:t>Tonnes per capita</a:t>
                </a:r>
              </a:p>
            </c:rich>
          </c:tx>
          <c:layout>
            <c:manualLayout>
              <c:xMode val="edge"/>
              <c:yMode val="edge"/>
              <c:x val="2.3249919429915156E-2"/>
              <c:y val="0.25832765186856632"/>
            </c:manualLayout>
          </c:layout>
        </c:title>
        <c:numFmt formatCode="#,##0.0" sourceLinked="0"/>
        <c:tickLblPos val="nextTo"/>
        <c:spPr>
          <a:ln>
            <a:noFill/>
          </a:ln>
        </c:spPr>
        <c:crossAx val="143211904"/>
        <c:crosses val="autoZero"/>
        <c:crossBetween val="between"/>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4111179407844301"/>
          <c:y val="0.16317875334822574"/>
          <c:w val="0.83028171478565149"/>
          <c:h val="0.74492069451749721"/>
        </c:manualLayout>
      </c:layout>
      <c:barChart>
        <c:barDir val="col"/>
        <c:grouping val="stacked"/>
        <c:ser>
          <c:idx val="0"/>
          <c:order val="0"/>
          <c:tx>
            <c:strRef>
              <c:f>Australia!$AJ$5</c:f>
              <c:strCache>
                <c:ptCount val="1"/>
                <c:pt idx="0">
                  <c:v>Disposal</c:v>
                </c:pt>
              </c:strCache>
            </c:strRef>
          </c:tx>
          <c:spPr>
            <a:solidFill>
              <a:schemeClr val="accent2">
                <a:lumMod val="75000"/>
              </a:schemeClr>
            </a:solidFill>
          </c:spPr>
          <c:dLbls>
            <c:dLbl>
              <c:idx val="0"/>
              <c:layout>
                <c:manualLayout>
                  <c:x val="4.2881139895498299E-2"/>
                  <c:y val="-1.4481895919640301E-2"/>
                </c:manualLayout>
              </c:layout>
              <c:dLblPos val="ctr"/>
              <c:showVal val="1"/>
            </c:dLbl>
            <c:dLbl>
              <c:idx val="2"/>
              <c:layout>
                <c:manualLayout>
                  <c:x val="4.6779425340543634E-2"/>
                  <c:y val="-2.1722843879460451E-2"/>
                </c:manualLayout>
              </c:layout>
              <c:dLblPos val="ctr"/>
              <c:showVal val="1"/>
            </c:dLbl>
            <c:dLbl>
              <c:idx val="5"/>
              <c:layout>
                <c:manualLayout>
                  <c:x val="4.8728568063066267E-2"/>
                  <c:y val="-1.4481895919640301E-2"/>
                </c:manualLayout>
              </c:layout>
              <c:dLblPos val="ctr"/>
              <c:showVal val="1"/>
            </c:dLbl>
            <c:dLblPos val="ct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Australia!$AJ$6:$AJ$13</c:f>
              <c:numCache>
                <c:formatCode>#,##0.00</c:formatCode>
                <c:ptCount val="8"/>
                <c:pt idx="0">
                  <c:v>0.19850503867761729</c:v>
                </c:pt>
                <c:pt idx="1">
                  <c:v>5.9359745797020693</c:v>
                </c:pt>
                <c:pt idx="2">
                  <c:v>0.27627568802498115</c:v>
                </c:pt>
                <c:pt idx="3">
                  <c:v>3.5790600809148994</c:v>
                </c:pt>
                <c:pt idx="4">
                  <c:v>0.88273499038925762</c:v>
                </c:pt>
                <c:pt idx="5">
                  <c:v>0.40571007966823214</c:v>
                </c:pt>
                <c:pt idx="6">
                  <c:v>4.5585433860114071</c:v>
                </c:pt>
                <c:pt idx="7">
                  <c:v>3.6619019421374941</c:v>
                </c:pt>
              </c:numCache>
            </c:numRef>
          </c:val>
        </c:ser>
        <c:ser>
          <c:idx val="1"/>
          <c:order val="1"/>
          <c:tx>
            <c:strRef>
              <c:f>Australia!$AK$5</c:f>
              <c:strCache>
                <c:ptCount val="1"/>
                <c:pt idx="0">
                  <c:v>Recycling</c:v>
                </c:pt>
              </c:strCache>
            </c:strRef>
          </c:tx>
          <c:spPr>
            <a:solidFill>
              <a:srgbClr val="FFC000"/>
            </a:solidFill>
            <a:ln>
              <a:noFill/>
            </a:ln>
          </c:spPr>
          <c:dLbls>
            <c:dLbl>
              <c:idx val="0"/>
              <c:layout>
                <c:manualLayout>
                  <c:x val="4.093199717297568E-2"/>
                  <c:y val="-3.2584550895882004E-2"/>
                </c:manualLayout>
              </c:layout>
              <c:dLblPos val="ctr"/>
              <c:showVal val="1"/>
            </c:dLbl>
            <c:dLbl>
              <c:idx val="2"/>
              <c:layout>
                <c:manualLayout>
                  <c:x val="4.4830282618020981E-2"/>
                  <c:y val="-5.7927583678561212E-2"/>
                </c:manualLayout>
              </c:layout>
              <c:dLblPos val="ctr"/>
              <c:showVal val="1"/>
            </c:dLbl>
            <c:dLbl>
              <c:idx val="5"/>
              <c:layout>
                <c:manualLayout>
                  <c:x val="4.8728568063066129E-2"/>
                  <c:y val="-3.6204739799100764E-2"/>
                </c:manualLayout>
              </c:layout>
              <c:dLblPos val="ctr"/>
              <c:showVal val="1"/>
            </c:dLbl>
            <c:dLblPos val="ct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Australia!$AK$6:$AK$13</c:f>
              <c:numCache>
                <c:formatCode>#,##0.0</c:formatCode>
                <c:ptCount val="8"/>
                <c:pt idx="0">
                  <c:v>0.70459138807020694</c:v>
                </c:pt>
                <c:pt idx="1">
                  <c:v>10.7125</c:v>
                </c:pt>
                <c:pt idx="2" formatCode="#,##0.00">
                  <c:v>1.3992091369799335E-2</c:v>
                </c:pt>
                <c:pt idx="3">
                  <c:v>3.5736625370000001</c:v>
                </c:pt>
                <c:pt idx="4">
                  <c:v>2.8469000000000002</c:v>
                </c:pt>
                <c:pt idx="5">
                  <c:v>0.15687599999999999</c:v>
                </c:pt>
                <c:pt idx="6">
                  <c:v>7.1686499999999995</c:v>
                </c:pt>
                <c:pt idx="7">
                  <c:v>2.1361732386302004</c:v>
                </c:pt>
              </c:numCache>
            </c:numRef>
          </c:val>
        </c:ser>
        <c:ser>
          <c:idx val="2"/>
          <c:order val="2"/>
          <c:tx>
            <c:strRef>
              <c:f>Australia!$AL$5</c:f>
              <c:strCache>
                <c:ptCount val="1"/>
                <c:pt idx="0">
                  <c:v>Energy recovery</c:v>
                </c:pt>
              </c:strCache>
            </c:strRef>
          </c:tx>
          <c:spPr>
            <a:solidFill>
              <a:schemeClr val="accent6">
                <a:lumMod val="75000"/>
              </a:schemeClr>
            </a:solidFill>
          </c:spPr>
          <c:dLbls>
            <c:dLbl>
              <c:idx val="0"/>
              <c:layout>
                <c:manualLayout>
                  <c:x val="4.2881139895498334E-2"/>
                  <c:y val="-4.7066446815522328E-2"/>
                </c:manualLayout>
              </c:layout>
              <c:dLblPos val="ctr"/>
              <c:showVal val="1"/>
            </c:dLbl>
            <c:dLbl>
              <c:idx val="2"/>
              <c:layout>
                <c:manualLayout>
                  <c:x val="4.6779425340543634E-2"/>
                  <c:y val="-0.10137327143748213"/>
                </c:manualLayout>
              </c:layout>
              <c:dLblPos val="ctr"/>
              <c:showVal val="1"/>
            </c:dLbl>
            <c:dLbl>
              <c:idx val="5"/>
              <c:layout>
                <c:manualLayout>
                  <c:x val="5.0677710785588921E-2"/>
                  <c:y val="-6.5168531638381502E-2"/>
                </c:manualLayout>
              </c:layout>
              <c:dLblPos val="ctr"/>
              <c:showVal val="1"/>
            </c:dLbl>
            <c:dLblPos val="ct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Australia!$AL$6:$AL$13</c:f>
              <c:numCache>
                <c:formatCode>#,##0.00</c:formatCode>
                <c:ptCount val="8"/>
                <c:pt idx="0">
                  <c:v>3.1275542617122828E-2</c:v>
                </c:pt>
                <c:pt idx="1">
                  <c:v>0.48252508114911835</c:v>
                </c:pt>
                <c:pt idx="2">
                  <c:v>1.3831993413643296E-2</c:v>
                </c:pt>
                <c:pt idx="3">
                  <c:v>0.35557891908509981</c:v>
                </c:pt>
                <c:pt idx="4">
                  <c:v>0.13620985179473655</c:v>
                </c:pt>
                <c:pt idx="5">
                  <c:v>3.9842053713452577E-2</c:v>
                </c:pt>
                <c:pt idx="6">
                  <c:v>0.30128188023859304</c:v>
                </c:pt>
                <c:pt idx="7">
                  <c:v>0.15876531421399098</c:v>
                </c:pt>
              </c:numCache>
            </c:numRef>
          </c:val>
        </c:ser>
        <c:ser>
          <c:idx val="3"/>
          <c:order val="3"/>
          <c:tx>
            <c:strRef>
              <c:f>Australia!$AM$5</c:f>
              <c:strCache>
                <c:ptCount val="1"/>
                <c:pt idx="0">
                  <c:v>Recovery rate</c:v>
                </c:pt>
              </c:strCache>
            </c:strRef>
          </c:tx>
          <c:spPr>
            <a:noFill/>
            <a:ln>
              <a:noFill/>
            </a:ln>
          </c:spPr>
          <c:dLbls>
            <c:dLbl>
              <c:idx val="0"/>
              <c:layout>
                <c:manualLayout>
                  <c:x val="-3.5733870445527972E-17"/>
                  <c:y val="-5.4307109698651129E-2"/>
                </c:manualLayout>
              </c:layout>
              <c:dLblPos val="ctr"/>
              <c:showVal val="1"/>
            </c:dLbl>
            <c:dLbl>
              <c:idx val="1"/>
              <c:layout>
                <c:manualLayout>
                  <c:x val="-1.5347580492304345E-7"/>
                  <c:y val="-7.2412330365114836E-3"/>
                </c:manualLayout>
              </c:layout>
              <c:dLblPos val="ctr"/>
              <c:showVal val="1"/>
            </c:dLbl>
            <c:dLbl>
              <c:idx val="2"/>
              <c:layout>
                <c:manualLayout>
                  <c:x val="0"/>
                  <c:y val="-3.2584265819190682E-2"/>
                </c:manualLayout>
              </c:layout>
              <c:dLblPos val="ctr"/>
              <c:showVal val="1"/>
            </c:dLbl>
            <c:dLbl>
              <c:idx val="3"/>
              <c:layout>
                <c:manualLayout>
                  <c:x val="0"/>
                  <c:y val="-3.2584265819190751E-2"/>
                </c:manualLayout>
              </c:layout>
              <c:dLblPos val="ctr"/>
              <c:showVal val="1"/>
            </c:dLbl>
            <c:dLbl>
              <c:idx val="4"/>
              <c:layout>
                <c:manualLayout>
                  <c:x val="1.9491427225225802E-3"/>
                  <c:y val="-1.8102369899550382E-2"/>
                </c:manualLayout>
              </c:layout>
              <c:dLblPos val="ctr"/>
              <c:showVal val="1"/>
            </c:dLbl>
            <c:dLbl>
              <c:idx val="5"/>
              <c:layout>
                <c:manualLayout>
                  <c:x val="1.9491427225226516E-3"/>
                  <c:y val="-2.1722843879460451E-2"/>
                </c:manualLayout>
              </c:layout>
              <c:dLblPos val="ctr"/>
              <c:showVal val="1"/>
            </c:dLbl>
            <c:dLbl>
              <c:idx val="6"/>
              <c:layout>
                <c:manualLayout>
                  <c:x val="-1.4293548178211181E-16"/>
                  <c:y val="-2.1722843879460451E-2"/>
                </c:manualLayout>
              </c:layout>
              <c:dLblPos val="ctr"/>
              <c:showVal val="1"/>
            </c:dLbl>
            <c:dLbl>
              <c:idx val="7"/>
              <c:layout>
                <c:manualLayout>
                  <c:x val="1.9491427225225087E-3"/>
                  <c:y val="-2.8963791839280665E-2"/>
                </c:manualLayout>
              </c:layout>
              <c:dLblPos val="ctr"/>
              <c:showVal val="1"/>
            </c:dLbl>
            <c:dLblPos val="ctr"/>
            <c:showVal val="1"/>
          </c:dLbls>
          <c:cat>
            <c:strRef>
              <c:f>Australia!$A$20:$A$27</c:f>
              <c:strCache>
                <c:ptCount val="8"/>
                <c:pt idx="0">
                  <c:v>ACT</c:v>
                </c:pt>
                <c:pt idx="1">
                  <c:v>NSW</c:v>
                </c:pt>
                <c:pt idx="2">
                  <c:v>NT</c:v>
                </c:pt>
                <c:pt idx="3">
                  <c:v>Qld</c:v>
                </c:pt>
                <c:pt idx="4">
                  <c:v>SA</c:v>
                </c:pt>
                <c:pt idx="5">
                  <c:v>Tas</c:v>
                </c:pt>
                <c:pt idx="6">
                  <c:v>Vic</c:v>
                </c:pt>
                <c:pt idx="7">
                  <c:v>WA</c:v>
                </c:pt>
              </c:strCache>
            </c:strRef>
          </c:cat>
          <c:val>
            <c:numRef>
              <c:f>Australia!$AM$6:$AM$13</c:f>
              <c:numCache>
                <c:formatCode>0%</c:formatCode>
                <c:ptCount val="8"/>
                <c:pt idx="0">
                  <c:v>0.78755244679211356</c:v>
                </c:pt>
                <c:pt idx="1">
                  <c:v>0.65349514346980453</c:v>
                </c:pt>
                <c:pt idx="2">
                  <c:v>9.1496565507042313E-2</c:v>
                </c:pt>
                <c:pt idx="3">
                  <c:v>0.5233196131937794</c:v>
                </c:pt>
                <c:pt idx="4">
                  <c:v>0.77165793599451349</c:v>
                </c:pt>
                <c:pt idx="5">
                  <c:v>0.32654194386505597</c:v>
                </c:pt>
                <c:pt idx="6">
                  <c:v>0.62102067925417281</c:v>
                </c:pt>
                <c:pt idx="7">
                  <c:v>0.38526103809184625</c:v>
                </c:pt>
              </c:numCache>
            </c:numRef>
          </c:val>
        </c:ser>
        <c:dLbls>
          <c:showVal val="1"/>
        </c:dLbls>
        <c:overlap val="100"/>
        <c:axId val="143347072"/>
        <c:axId val="143361152"/>
      </c:barChart>
      <c:catAx>
        <c:axId val="143347072"/>
        <c:scaling>
          <c:orientation val="minMax"/>
        </c:scaling>
        <c:axPos val="b"/>
        <c:majorTickMark val="none"/>
        <c:tickLblPos val="nextTo"/>
        <c:crossAx val="143361152"/>
        <c:crosses val="autoZero"/>
        <c:auto val="1"/>
        <c:lblAlgn val="ctr"/>
        <c:lblOffset val="100"/>
      </c:catAx>
      <c:valAx>
        <c:axId val="143361152"/>
        <c:scaling>
          <c:orientation val="minMax"/>
          <c:max val="18"/>
        </c:scaling>
        <c:axPos val="l"/>
        <c:majorGridlines/>
        <c:title>
          <c:tx>
            <c:rich>
              <a:bodyPr rot="-5400000" vert="horz"/>
              <a:lstStyle/>
              <a:p>
                <a:pPr>
                  <a:defRPr/>
                </a:pPr>
                <a:r>
                  <a:rPr lang="en-US" sz="1000" b="1" i="0" u="none" strike="noStrike" baseline="0"/>
                  <a:t>Millions of tonnes</a:t>
                </a:r>
                <a:endParaRPr lang="en-US"/>
              </a:p>
            </c:rich>
          </c:tx>
          <c:layout>
            <c:manualLayout>
              <c:xMode val="edge"/>
              <c:yMode val="edge"/>
              <c:x val="3.2214904955062434E-2"/>
              <c:y val="0.31892587290225893"/>
            </c:manualLayout>
          </c:layout>
        </c:title>
        <c:numFmt formatCode="#,##0" sourceLinked="0"/>
        <c:tickLblPos val="nextTo"/>
        <c:spPr>
          <a:ln>
            <a:noFill/>
          </a:ln>
        </c:spPr>
        <c:crossAx val="143347072"/>
        <c:crosses val="autoZero"/>
        <c:crossBetween val="between"/>
      </c:valAx>
    </c:plotArea>
    <c:legend>
      <c:legendPos val="t"/>
      <c:legendEntry>
        <c:idx val="3"/>
        <c:delete val="1"/>
      </c:legendEntry>
    </c:legend>
    <c:plotVisOnly val="1"/>
    <c:dispBlanksAs val="gap"/>
  </c:chart>
  <c:spPr>
    <a:ln>
      <a:noFill/>
    </a:ln>
  </c:spPr>
  <c:printSettings>
    <c:headerFooter/>
    <c:pageMargins b="0.75000000000000966" l="0.70000000000000062" r="0.70000000000000062" t="0.7500000000000096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0271291264854363"/>
          <c:y val="4.1596834175740817E-2"/>
          <c:w val="0.88681255691557825"/>
          <c:h val="0.8647624270922375"/>
        </c:manualLayout>
      </c:layout>
      <c:barChart>
        <c:barDir val="col"/>
        <c:grouping val="stacked"/>
        <c:ser>
          <c:idx val="1"/>
          <c:order val="0"/>
          <c:tx>
            <c:strRef>
              <c:f>Australia!$C$139</c:f>
              <c:strCache>
                <c:ptCount val="1"/>
                <c:pt idx="0">
                  <c:v>Disposal</c:v>
                </c:pt>
              </c:strCache>
            </c:strRef>
          </c:tx>
          <c:spPr>
            <a:solidFill>
              <a:srgbClr val="953735"/>
            </a:solidFill>
          </c:spPr>
          <c:dLbls>
            <c:dLbl>
              <c:idx val="4"/>
              <c:layout>
                <c:manualLayout>
                  <c:x val="-2.9024949114921637E-3"/>
                  <c:y val="-1.7601758956246185E-2"/>
                </c:manualLayout>
              </c:layout>
              <c:spPr/>
              <c:txPr>
                <a:bodyPr/>
                <a:lstStyle/>
                <a:p>
                  <a:pPr>
                    <a:defRPr>
                      <a:solidFill>
                        <a:sysClr val="windowText" lastClr="000000"/>
                      </a:solidFill>
                    </a:defRPr>
                  </a:pPr>
                  <a:endParaRPr lang="en-US"/>
                </a:p>
              </c:txPr>
              <c:showVal val="1"/>
            </c:dLbl>
            <c:dLbl>
              <c:idx val="5"/>
              <c:layout>
                <c:manualLayout>
                  <c:x val="0"/>
                  <c:y val="-1.5841583060621577E-2"/>
                </c:manualLayout>
              </c:layout>
              <c:spPr/>
              <c:txPr>
                <a:bodyPr/>
                <a:lstStyle/>
                <a:p>
                  <a:pPr>
                    <a:defRPr>
                      <a:solidFill>
                        <a:sysClr val="windowText" lastClr="000000"/>
                      </a:solidFill>
                    </a:defRPr>
                  </a:pPr>
                  <a:endParaRPr lang="en-US"/>
                </a:p>
              </c:txPr>
              <c:showVal val="1"/>
            </c:dLbl>
            <c:dLbl>
              <c:idx val="6"/>
              <c:layout>
                <c:manualLayout>
                  <c:x val="4.353742367238283E-3"/>
                  <c:y val="-1.9361934851870804E-2"/>
                </c:manualLayout>
              </c:layout>
              <c:spPr/>
              <c:txPr>
                <a:bodyPr/>
                <a:lstStyle/>
                <a:p>
                  <a:pPr>
                    <a:defRPr>
                      <a:solidFill>
                        <a:sysClr val="windowText" lastClr="000000"/>
                      </a:solidFill>
                    </a:defRPr>
                  </a:pPr>
                  <a:endParaRPr lang="en-US"/>
                </a:p>
              </c:txPr>
              <c:showVal val="1"/>
            </c:dLbl>
            <c:dLbl>
              <c:idx val="18"/>
              <c:layout>
                <c:manualLayout>
                  <c:x val="2.9024949114921901E-3"/>
                  <c:y val="-1.9361934851870804E-2"/>
                </c:manualLayout>
              </c:layout>
              <c:spPr/>
              <c:txPr>
                <a:bodyPr/>
                <a:lstStyle/>
                <a:p>
                  <a:pPr>
                    <a:defRPr>
                      <a:solidFill>
                        <a:sysClr val="windowText" lastClr="000000"/>
                      </a:solidFill>
                    </a:defRPr>
                  </a:pPr>
                  <a:endParaRPr lang="en-US"/>
                </a:p>
              </c:txPr>
              <c:showVal val="1"/>
            </c:dLbl>
            <c:txPr>
              <a:bodyPr/>
              <a:lstStyle/>
              <a:p>
                <a:pPr>
                  <a:defRPr>
                    <a:solidFill>
                      <a:schemeClr val="bg1"/>
                    </a:solidFill>
                  </a:defRPr>
                </a:pPr>
                <a:endParaRPr lang="en-US"/>
              </a:p>
            </c:txPr>
            <c:showVal val="1"/>
          </c:dLbls>
          <c:cat>
            <c:strRef>
              <c:f>Australia!$B$143:$B$169</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Australia!$C$143:$C$169</c:f>
              <c:numCache>
                <c:formatCode>#,##0.0</c:formatCode>
                <c:ptCount val="27"/>
                <c:pt idx="0">
                  <c:v>2.0238761619114016</c:v>
                </c:pt>
                <c:pt idx="1">
                  <c:v>2.1816746066493597</c:v>
                </c:pt>
                <c:pt idx="2">
                  <c:v>1.7304238111413084</c:v>
                </c:pt>
                <c:pt idx="4" formatCode="#,##0.00">
                  <c:v>0.11525616749664845</c:v>
                </c:pt>
                <c:pt idx="5" formatCode="#,##0.00">
                  <c:v>3.7739951001677284E-2</c:v>
                </c:pt>
                <c:pt idx="6" formatCode="#,##0.00">
                  <c:v>0.12327956952665539</c:v>
                </c:pt>
                <c:pt idx="8">
                  <c:v>1.6020147232249229</c:v>
                </c:pt>
                <c:pt idx="9">
                  <c:v>1.0990219549128326</c:v>
                </c:pt>
                <c:pt idx="10">
                  <c:v>0.8780234027771443</c:v>
                </c:pt>
                <c:pt idx="12">
                  <c:v>0.30698064209297599</c:v>
                </c:pt>
                <c:pt idx="13">
                  <c:v>0.16392352803554899</c:v>
                </c:pt>
                <c:pt idx="14">
                  <c:v>0.41183082026073253</c:v>
                </c:pt>
                <c:pt idx="16">
                  <c:v>0.15414175310174033</c:v>
                </c:pt>
                <c:pt idx="17">
                  <c:v>0.213371456364012</c:v>
                </c:pt>
                <c:pt idx="18" formatCode="#,##0.00">
                  <c:v>3.819687020247986E-2</c:v>
                </c:pt>
                <c:pt idx="20">
                  <c:v>1.6467848177484605</c:v>
                </c:pt>
                <c:pt idx="21">
                  <c:v>1.5266733693229311</c:v>
                </c:pt>
                <c:pt idx="22">
                  <c:v>1.3850851989400159</c:v>
                </c:pt>
                <c:pt idx="24">
                  <c:v>0.9638144247995204</c:v>
                </c:pt>
                <c:pt idx="25">
                  <c:v>1.0100488570734909</c:v>
                </c:pt>
                <c:pt idx="26">
                  <c:v>1.6880386602644835</c:v>
                </c:pt>
              </c:numCache>
            </c:numRef>
          </c:val>
        </c:ser>
        <c:ser>
          <c:idx val="2"/>
          <c:order val="1"/>
          <c:tx>
            <c:strRef>
              <c:f>Australia!$D$139</c:f>
              <c:strCache>
                <c:ptCount val="1"/>
                <c:pt idx="0">
                  <c:v>Recycling</c:v>
                </c:pt>
              </c:strCache>
            </c:strRef>
          </c:tx>
          <c:spPr>
            <a:solidFill>
              <a:srgbClr val="FFC000"/>
            </a:solidFill>
          </c:spPr>
          <c:dLbls>
            <c:dLbl>
              <c:idx val="4"/>
              <c:layout>
                <c:manualLayout>
                  <c:x val="2.660589600176417E-17"/>
                  <c:y val="-3.6963693808116996E-2"/>
                </c:manualLayout>
              </c:layout>
              <c:numFmt formatCode="#,##0.00" sourceLinked="0"/>
              <c:spPr/>
              <c:txPr>
                <a:bodyPr/>
                <a:lstStyle/>
                <a:p>
                  <a:pPr>
                    <a:defRPr/>
                  </a:pPr>
                  <a:endParaRPr lang="en-US"/>
                </a:p>
              </c:txPr>
              <c:showVal val="1"/>
            </c:dLbl>
            <c:dLbl>
              <c:idx val="5"/>
              <c:layout>
                <c:manualLayout>
                  <c:x val="0"/>
                  <c:y val="-4.5764573286240104E-2"/>
                </c:manualLayout>
              </c:layout>
              <c:showVal val="1"/>
            </c:dLbl>
            <c:dLbl>
              <c:idx val="6"/>
              <c:layout>
                <c:manualLayout>
                  <c:x val="0"/>
                  <c:y val="-3.5203517912492398E-2"/>
                </c:manualLayout>
              </c:layout>
              <c:showVal val="1"/>
            </c:dLbl>
            <c:dLbl>
              <c:idx val="16"/>
              <c:layout>
                <c:manualLayout>
                  <c:x val="0"/>
                  <c:y val="-2.9922990225618513E-2"/>
                </c:manualLayout>
              </c:layout>
              <c:showVal val="1"/>
            </c:dLbl>
            <c:dLbl>
              <c:idx val="17"/>
              <c:layout>
                <c:manualLayout>
                  <c:x val="0"/>
                  <c:y val="-2.6402638434369297E-2"/>
                </c:manualLayout>
              </c:layout>
              <c:showVal val="1"/>
            </c:dLbl>
            <c:dLbl>
              <c:idx val="18"/>
              <c:layout>
                <c:manualLayout>
                  <c:x val="0"/>
                  <c:y val="-4.7524749181864674E-2"/>
                </c:manualLayout>
              </c:layout>
              <c:showVal val="1"/>
            </c:dLbl>
            <c:showVal val="1"/>
          </c:dLbls>
          <c:cat>
            <c:strRef>
              <c:f>Australia!$B$143:$B$169</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Australia!$D$143:$D$169</c:f>
              <c:numCache>
                <c:formatCode>#,##0.0</c:formatCode>
                <c:ptCount val="27"/>
                <c:pt idx="0">
                  <c:v>2.4569999999999999</c:v>
                </c:pt>
                <c:pt idx="1">
                  <c:v>3.0994999999999999</c:v>
                </c:pt>
                <c:pt idx="2">
                  <c:v>5.1559999999999997</c:v>
                </c:pt>
                <c:pt idx="4" formatCode="#,##0.00">
                  <c:v>1.3555261369799334E-2</c:v>
                </c:pt>
                <c:pt idx="5" formatCode="#,##0">
                  <c:v>4.3682999999999998E-4</c:v>
                </c:pt>
                <c:pt idx="6" formatCode="#,##0">
                  <c:v>0</c:v>
                </c:pt>
                <c:pt idx="8">
                  <c:v>1.2197004394041975</c:v>
                </c:pt>
                <c:pt idx="9">
                  <c:v>1.074889801411143</c:v>
                </c:pt>
                <c:pt idx="10">
                  <c:v>1.2790722961846599</c:v>
                </c:pt>
                <c:pt idx="12">
                  <c:v>0.43798461538461542</c:v>
                </c:pt>
                <c:pt idx="13">
                  <c:v>1.1945034965034966</c:v>
                </c:pt>
                <c:pt idx="14">
                  <c:v>1.2144118881118879</c:v>
                </c:pt>
                <c:pt idx="16">
                  <c:v>8.6334668315888263E-2</c:v>
                </c:pt>
                <c:pt idx="17">
                  <c:v>7.0541331684111711E-2</c:v>
                </c:pt>
                <c:pt idx="18" formatCode="#,##0">
                  <c:v>0</c:v>
                </c:pt>
                <c:pt idx="20">
                  <c:v>1.5435901320000001</c:v>
                </c:pt>
                <c:pt idx="21">
                  <c:v>2.4843753799999999</c:v>
                </c:pt>
                <c:pt idx="22">
                  <c:v>3.1406844879999998</c:v>
                </c:pt>
                <c:pt idx="24">
                  <c:v>0.58259270144460029</c:v>
                </c:pt>
                <c:pt idx="25">
                  <c:v>0.45312765667913346</c:v>
                </c:pt>
                <c:pt idx="26">
                  <c:v>1.1004528805064673</c:v>
                </c:pt>
              </c:numCache>
            </c:numRef>
          </c:val>
        </c:ser>
        <c:ser>
          <c:idx val="3"/>
          <c:order val="2"/>
          <c:tx>
            <c:strRef>
              <c:f>Australia!$E$139</c:f>
              <c:strCache>
                <c:ptCount val="1"/>
                <c:pt idx="0">
                  <c:v>Energy recovery</c:v>
                </c:pt>
              </c:strCache>
            </c:strRef>
          </c:tx>
          <c:spPr>
            <a:solidFill>
              <a:srgbClr val="E46C0A"/>
            </a:solidFill>
          </c:spPr>
          <c:dLbls>
            <c:dLbl>
              <c:idx val="2"/>
              <c:delete val="1"/>
            </c:dLbl>
            <c:dLbl>
              <c:idx val="4"/>
              <c:layout>
                <c:manualLayout>
                  <c:x val="-2.0402880655520715E-3"/>
                  <c:y val="-6.688661865073775E-2"/>
                </c:manualLayout>
              </c:layout>
              <c:numFmt formatCode="#,##0.00" sourceLinked="0"/>
              <c:spPr/>
              <c:txPr>
                <a:bodyPr/>
                <a:lstStyle/>
                <a:p>
                  <a:pPr>
                    <a:defRPr/>
                  </a:pPr>
                  <a:endParaRPr lang="en-US"/>
                </a:p>
              </c:txPr>
              <c:showVal val="1"/>
            </c:dLbl>
            <c:dLbl>
              <c:idx val="5"/>
              <c:layout>
                <c:manualLayout>
                  <c:x val="1.4512474557460951E-3"/>
                  <c:y val="-7.5687563511858597E-2"/>
                </c:manualLayout>
              </c:layout>
              <c:showVal val="1"/>
            </c:dLbl>
            <c:dLbl>
              <c:idx val="6"/>
              <c:layout>
                <c:manualLayout>
                  <c:x val="1.4512474557460943E-2"/>
                  <c:y val="-6.8646859929360107E-2"/>
                </c:manualLayout>
              </c:layout>
              <c:showVal val="1"/>
            </c:dLbl>
            <c:dLbl>
              <c:idx val="10"/>
              <c:delete val="1"/>
            </c:dLbl>
            <c:dLbl>
              <c:idx val="14"/>
              <c:delete val="1"/>
            </c:dLbl>
            <c:dLbl>
              <c:idx val="16"/>
              <c:layout>
                <c:manualLayout>
                  <c:x val="-1.4512474557460951E-3"/>
                  <c:y val="-5.4565452764363157E-2"/>
                </c:manualLayout>
              </c:layout>
              <c:showVal val="1"/>
            </c:dLbl>
            <c:dLbl>
              <c:idx val="17"/>
              <c:layout>
                <c:manualLayout>
                  <c:x val="0"/>
                  <c:y val="-4.9284925077489321E-2"/>
                </c:manualLayout>
              </c:layout>
              <c:showVal val="1"/>
            </c:dLbl>
            <c:dLbl>
              <c:idx val="18"/>
              <c:layout>
                <c:manualLayout>
                  <c:x val="7.2562372787304714E-3"/>
                  <c:y val="-7.5687563511858597E-2"/>
                </c:manualLayout>
              </c:layout>
              <c:showVal val="1"/>
            </c:dLbl>
            <c:dLbl>
              <c:idx val="22"/>
              <c:delete val="1"/>
            </c:dLbl>
            <c:dLbl>
              <c:idx val="26"/>
              <c:delete val="1"/>
            </c:dLbl>
            <c:showVal val="1"/>
          </c:dLbls>
          <c:cat>
            <c:strRef>
              <c:f>Australia!$B$143:$B$169</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Australia!$E$143:$E$169</c:f>
              <c:numCache>
                <c:formatCode>#,##0.0</c:formatCode>
                <c:ptCount val="27"/>
                <c:pt idx="0">
                  <c:v>0.27412383808859825</c:v>
                </c:pt>
                <c:pt idx="1">
                  <c:v>0.18982505420182855</c:v>
                </c:pt>
                <c:pt idx="2" formatCode="#,##0.00">
                  <c:v>1.8576188858691615E-2</c:v>
                </c:pt>
                <c:pt idx="4" formatCode="#,##0.00">
                  <c:v>9.4913340946544463E-3</c:v>
                </c:pt>
                <c:pt idx="5" formatCode="#,##0.000">
                  <c:v>2.8755146327004068E-3</c:v>
                </c:pt>
                <c:pt idx="6" formatCode="#,##0.000">
                  <c:v>1.4651446862884423E-3</c:v>
                </c:pt>
                <c:pt idx="8">
                  <c:v>0.23752827677507676</c:v>
                </c:pt>
                <c:pt idx="9">
                  <c:v>0.11028004508716732</c:v>
                </c:pt>
                <c:pt idx="10" formatCode="#,##0.00">
                  <c:v>7.7705972228557666E-3</c:v>
                </c:pt>
                <c:pt idx="12" formatCode="#,##0.00">
                  <c:v>4.005935790702405E-2</c:v>
                </c:pt>
                <c:pt idx="13">
                  <c:v>7.4236471964451017E-2</c:v>
                </c:pt>
                <c:pt idx="14" formatCode="#,##0.00">
                  <c:v>2.191402192326147E-2</c:v>
                </c:pt>
                <c:pt idx="16" formatCode="#,##0.00">
                  <c:v>1.7270246898259688E-2</c:v>
                </c:pt>
                <c:pt idx="17" formatCode="#,##0.00">
                  <c:v>2.1984543635987973E-2</c:v>
                </c:pt>
                <c:pt idx="18" formatCode="#,##0.000">
                  <c:v>5.8726317920492215E-4</c:v>
                </c:pt>
                <c:pt idx="20">
                  <c:v>0.21916048530153953</c:v>
                </c:pt>
                <c:pt idx="21">
                  <c:v>8.0377808597069056E-2</c:v>
                </c:pt>
                <c:pt idx="22" formatCode="#,##0.000">
                  <c:v>1.7435863399844081E-3</c:v>
                </c:pt>
                <c:pt idx="24">
                  <c:v>7.4313271483757062E-2</c:v>
                </c:pt>
                <c:pt idx="25">
                  <c:v>7.6564514697791394E-2</c:v>
                </c:pt>
                <c:pt idx="26" formatCode="#,##0.00">
                  <c:v>7.8875280324425326E-3</c:v>
                </c:pt>
              </c:numCache>
            </c:numRef>
          </c:val>
        </c:ser>
        <c:ser>
          <c:idx val="0"/>
          <c:order val="3"/>
          <c:tx>
            <c:strRef>
              <c:f>Australia!$F$139</c:f>
              <c:strCache>
                <c:ptCount val="1"/>
                <c:pt idx="0">
                  <c:v>Recovery rate</c:v>
                </c:pt>
              </c:strCache>
            </c:strRef>
          </c:tx>
          <c:spPr>
            <a:noFill/>
          </c:spPr>
          <c:dLbls>
            <c:dLbl>
              <c:idx val="4"/>
              <c:layout>
                <c:manualLayout>
                  <c:x val="-1.4512474557460684E-3"/>
                  <c:y val="-9.3289322468104785E-2"/>
                </c:manualLayout>
              </c:layout>
              <c:showVal val="1"/>
            </c:dLbl>
            <c:dLbl>
              <c:idx val="5"/>
              <c:layout>
                <c:manualLayout>
                  <c:x val="0"/>
                  <c:y val="-0.10737072963310176"/>
                </c:manualLayout>
              </c:layout>
              <c:showVal val="1"/>
            </c:dLbl>
            <c:dLbl>
              <c:idx val="6"/>
              <c:layout>
                <c:manualLayout>
                  <c:x val="0"/>
                  <c:y val="-0.10033002605060326"/>
                </c:manualLayout>
              </c:layout>
              <c:showVal val="1"/>
            </c:dLbl>
            <c:dLbl>
              <c:idx val="16"/>
              <c:layout>
                <c:manualLayout>
                  <c:x val="0"/>
                  <c:y val="-6.5126508138110883E-2"/>
                </c:manualLayout>
              </c:layout>
              <c:showVal val="1"/>
            </c:dLbl>
            <c:dLbl>
              <c:idx val="17"/>
              <c:layout>
                <c:manualLayout>
                  <c:x val="1.4512474557460951E-3"/>
                  <c:y val="-6.6886684033735558E-2"/>
                </c:manualLayout>
              </c:layout>
              <c:showVal val="1"/>
            </c:dLbl>
            <c:dLbl>
              <c:idx val="18"/>
              <c:layout>
                <c:manualLayout>
                  <c:x val="1.4512474557460951E-3"/>
                  <c:y val="-0.10737072963310176"/>
                </c:manualLayout>
              </c:layout>
              <c:showVal val="1"/>
            </c:dLbl>
            <c:showVal val="1"/>
          </c:dLbls>
          <c:cat>
            <c:strRef>
              <c:f>Australia!$B$143:$B$169</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Australia!$F$143:$F$169</c:f>
              <c:numCache>
                <c:formatCode>0%</c:formatCode>
                <c:ptCount val="27"/>
                <c:pt idx="0">
                  <c:v>0.57436884081779149</c:v>
                </c:pt>
                <c:pt idx="1">
                  <c:v>0.60122925573167907</c:v>
                </c:pt>
                <c:pt idx="2">
                  <c:v>0.74939553785064328</c:v>
                </c:pt>
                <c:pt idx="4">
                  <c:v>0.16663872052169815</c:v>
                </c:pt>
                <c:pt idx="5">
                  <c:v>8.0685978250790172E-2</c:v>
                </c:pt>
                <c:pt idx="6">
                  <c:v>1.1745144437842763E-2</c:v>
                </c:pt>
                <c:pt idx="8">
                  <c:v>0.47633630505164276</c:v>
                </c:pt>
                <c:pt idx="9">
                  <c:v>0.51885741195906943</c:v>
                </c:pt>
                <c:pt idx="10">
                  <c:v>0.59442141793025993</c:v>
                </c:pt>
                <c:pt idx="12">
                  <c:v>0.60895411930163013</c:v>
                </c:pt>
                <c:pt idx="13">
                  <c:v>0.88558127680672083</c:v>
                </c:pt>
                <c:pt idx="14">
                  <c:v>0.75012642141940011</c:v>
                </c:pt>
                <c:pt idx="16">
                  <c:v>0.40196412970573181</c:v>
                </c:pt>
                <c:pt idx="17">
                  <c:v>0.30247362672534711</c:v>
                </c:pt>
                <c:pt idx="18">
                  <c:v>1.5141840954018798E-2</c:v>
                </c:pt>
                <c:pt idx="20">
                  <c:v>0.51700609976962719</c:v>
                </c:pt>
                <c:pt idx="21">
                  <c:v>0.62686037554122409</c:v>
                </c:pt>
                <c:pt idx="22">
                  <c:v>0.69407374085143703</c:v>
                </c:pt>
                <c:pt idx="24">
                  <c:v>0.40531727363293985</c:v>
                </c:pt>
                <c:pt idx="25">
                  <c:v>0.34401380595151332</c:v>
                </c:pt>
                <c:pt idx="26">
                  <c:v>0.39634841388409586</c:v>
                </c:pt>
              </c:numCache>
            </c:numRef>
          </c:val>
        </c:ser>
        <c:dLbls/>
        <c:gapWidth val="26"/>
        <c:overlap val="100"/>
        <c:axId val="143460608"/>
        <c:axId val="143486976"/>
      </c:barChart>
      <c:catAx>
        <c:axId val="143460608"/>
        <c:scaling>
          <c:orientation val="minMax"/>
        </c:scaling>
        <c:axPos val="b"/>
        <c:tickLblPos val="nextTo"/>
        <c:spPr>
          <a:ln>
            <a:noFill/>
          </a:ln>
        </c:spPr>
        <c:txPr>
          <a:bodyPr/>
          <a:lstStyle/>
          <a:p>
            <a:pPr>
              <a:defRPr sz="1200"/>
            </a:pPr>
            <a:endParaRPr lang="en-US"/>
          </a:p>
        </c:txPr>
        <c:crossAx val="143486976"/>
        <c:crosses val="autoZero"/>
        <c:auto val="1"/>
        <c:lblAlgn val="ctr"/>
        <c:lblOffset val="100"/>
      </c:catAx>
      <c:valAx>
        <c:axId val="143486976"/>
        <c:scaling>
          <c:orientation val="minMax"/>
          <c:max val="7.5"/>
          <c:min val="0"/>
        </c:scaling>
        <c:axPos val="l"/>
        <c:majorGridlines/>
        <c:title>
          <c:tx>
            <c:rich>
              <a:bodyPr rot="-5400000" vert="horz"/>
              <a:lstStyle/>
              <a:p>
                <a:pPr>
                  <a:defRPr sz="1200"/>
                </a:pPr>
                <a:r>
                  <a:rPr lang="en-US" sz="1200"/>
                  <a:t>Millions of tonnes</a:t>
                </a:r>
              </a:p>
            </c:rich>
          </c:tx>
          <c:layout>
            <c:manualLayout>
              <c:xMode val="edge"/>
              <c:yMode val="edge"/>
              <c:x val="2.199313190857094E-2"/>
              <c:y val="0.39609558180227533"/>
            </c:manualLayout>
          </c:layout>
        </c:title>
        <c:numFmt formatCode="#,##0" sourceLinked="0"/>
        <c:tickLblPos val="nextTo"/>
        <c:spPr>
          <a:ln>
            <a:noFill/>
          </a:ln>
        </c:spPr>
        <c:txPr>
          <a:bodyPr/>
          <a:lstStyle/>
          <a:p>
            <a:pPr>
              <a:defRPr sz="1200"/>
            </a:pPr>
            <a:endParaRPr lang="en-US"/>
          </a:p>
        </c:txPr>
        <c:crossAx val="143460608"/>
        <c:crosses val="autoZero"/>
        <c:crossBetween val="between"/>
      </c:valAx>
    </c:plotArea>
    <c:legend>
      <c:legendPos val="t"/>
      <c:legendEntry>
        <c:idx val="3"/>
        <c:delete val="1"/>
      </c:legendEntry>
      <c:txPr>
        <a:bodyPr/>
        <a:lstStyle/>
        <a:p>
          <a:pPr>
            <a:defRPr sz="1200"/>
          </a:pPr>
          <a:endParaRPr lang="en-US"/>
        </a:p>
      </c:txPr>
    </c:legend>
    <c:plotVisOnly val="1"/>
    <c:dispBlanksAs val="gap"/>
  </c:chart>
  <c:spPr>
    <a:ln>
      <a:noFill/>
    </a:ln>
  </c:spPr>
  <c:printSettings>
    <c:headerFooter/>
    <c:pageMargins b="0.75000000000000056" l="0.70000000000000051" r="0.70000000000000051" t="0.75000000000000056" header="0.30000000000000027" footer="0.30000000000000027"/>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7.2687157214208223E-2"/>
          <c:y val="0.13061406697992076"/>
          <c:w val="0.91003248508871759"/>
          <c:h val="0.74652162557699664"/>
        </c:manualLayout>
      </c:layout>
      <c:barChart>
        <c:barDir val="col"/>
        <c:grouping val="percentStacked"/>
        <c:ser>
          <c:idx val="1"/>
          <c:order val="0"/>
          <c:tx>
            <c:strRef>
              <c:f>Australia!$C$139</c:f>
              <c:strCache>
                <c:ptCount val="1"/>
                <c:pt idx="0">
                  <c:v>Disposal</c:v>
                </c:pt>
              </c:strCache>
            </c:strRef>
          </c:tx>
          <c:spPr>
            <a:solidFill>
              <a:srgbClr val="953735"/>
            </a:solidFill>
          </c:spPr>
          <c:dLbls>
            <c:txPr>
              <a:bodyPr/>
              <a:lstStyle/>
              <a:p>
                <a:pPr>
                  <a:defRPr>
                    <a:solidFill>
                      <a:schemeClr val="bg1"/>
                    </a:solidFill>
                  </a:defRPr>
                </a:pPr>
                <a:endParaRPr lang="en-US"/>
              </a:p>
            </c:txPr>
            <c:showVal val="1"/>
          </c:dLbls>
          <c:cat>
            <c:strRef>
              <c:f>Australia!$B$143:$B$170</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Australia!$C$143:$C$170</c:f>
              <c:numCache>
                <c:formatCode>#,##0.0</c:formatCode>
                <c:ptCount val="28"/>
                <c:pt idx="0">
                  <c:v>2.0238761619114016</c:v>
                </c:pt>
                <c:pt idx="1">
                  <c:v>2.1816746066493597</c:v>
                </c:pt>
                <c:pt idx="2">
                  <c:v>1.7304238111413084</c:v>
                </c:pt>
                <c:pt idx="4" formatCode="#,##0.00">
                  <c:v>0.11525616749664845</c:v>
                </c:pt>
                <c:pt idx="5" formatCode="#,##0.00">
                  <c:v>3.7739951001677284E-2</c:v>
                </c:pt>
                <c:pt idx="6" formatCode="#,##0.00">
                  <c:v>0.12327956952665539</c:v>
                </c:pt>
                <c:pt idx="8">
                  <c:v>1.6020147232249229</c:v>
                </c:pt>
                <c:pt idx="9">
                  <c:v>1.0990219549128326</c:v>
                </c:pt>
                <c:pt idx="10">
                  <c:v>0.8780234027771443</c:v>
                </c:pt>
                <c:pt idx="12">
                  <c:v>0.30698064209297599</c:v>
                </c:pt>
                <c:pt idx="13">
                  <c:v>0.16392352803554899</c:v>
                </c:pt>
                <c:pt idx="14">
                  <c:v>0.41183082026073253</c:v>
                </c:pt>
                <c:pt idx="16">
                  <c:v>0.15414175310174033</c:v>
                </c:pt>
                <c:pt idx="17">
                  <c:v>0.213371456364012</c:v>
                </c:pt>
                <c:pt idx="18" formatCode="#,##0.00">
                  <c:v>3.819687020247986E-2</c:v>
                </c:pt>
                <c:pt idx="20">
                  <c:v>1.6467848177484605</c:v>
                </c:pt>
                <c:pt idx="21">
                  <c:v>1.5266733693229311</c:v>
                </c:pt>
                <c:pt idx="22">
                  <c:v>1.3850851989400159</c:v>
                </c:pt>
                <c:pt idx="24">
                  <c:v>0.9638144247995204</c:v>
                </c:pt>
                <c:pt idx="25">
                  <c:v>1.0100488570734909</c:v>
                </c:pt>
                <c:pt idx="26">
                  <c:v>1.6880386602644835</c:v>
                </c:pt>
              </c:numCache>
            </c:numRef>
          </c:val>
        </c:ser>
        <c:ser>
          <c:idx val="2"/>
          <c:order val="1"/>
          <c:tx>
            <c:strRef>
              <c:f>Australia!$D$139</c:f>
              <c:strCache>
                <c:ptCount val="1"/>
                <c:pt idx="0">
                  <c:v>Recycling</c:v>
                </c:pt>
              </c:strCache>
            </c:strRef>
          </c:tx>
          <c:spPr>
            <a:solidFill>
              <a:srgbClr val="FFC000"/>
            </a:solidFill>
          </c:spPr>
          <c:dLbls>
            <c:showVal val="1"/>
          </c:dLbls>
          <c:cat>
            <c:strRef>
              <c:f>Australia!$B$143:$B$170</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Australia!$D$143:$D$170</c:f>
              <c:numCache>
                <c:formatCode>#,##0.0</c:formatCode>
                <c:ptCount val="28"/>
                <c:pt idx="0">
                  <c:v>2.4569999999999999</c:v>
                </c:pt>
                <c:pt idx="1">
                  <c:v>3.0994999999999999</c:v>
                </c:pt>
                <c:pt idx="2">
                  <c:v>5.1559999999999997</c:v>
                </c:pt>
                <c:pt idx="4" formatCode="#,##0.00">
                  <c:v>1.3555261369799334E-2</c:v>
                </c:pt>
                <c:pt idx="5" formatCode="#,##0">
                  <c:v>4.3682999999999998E-4</c:v>
                </c:pt>
                <c:pt idx="6" formatCode="#,##0">
                  <c:v>0</c:v>
                </c:pt>
                <c:pt idx="8">
                  <c:v>1.2197004394041975</c:v>
                </c:pt>
                <c:pt idx="9">
                  <c:v>1.074889801411143</c:v>
                </c:pt>
                <c:pt idx="10">
                  <c:v>1.2790722961846599</c:v>
                </c:pt>
                <c:pt idx="12">
                  <c:v>0.43798461538461542</c:v>
                </c:pt>
                <c:pt idx="13">
                  <c:v>1.1945034965034966</c:v>
                </c:pt>
                <c:pt idx="14">
                  <c:v>1.2144118881118879</c:v>
                </c:pt>
                <c:pt idx="16">
                  <c:v>8.6334668315888263E-2</c:v>
                </c:pt>
                <c:pt idx="17">
                  <c:v>7.0541331684111711E-2</c:v>
                </c:pt>
                <c:pt idx="18" formatCode="#,##0">
                  <c:v>0</c:v>
                </c:pt>
                <c:pt idx="20">
                  <c:v>1.5435901320000001</c:v>
                </c:pt>
                <c:pt idx="21">
                  <c:v>2.4843753799999999</c:v>
                </c:pt>
                <c:pt idx="22">
                  <c:v>3.1406844879999998</c:v>
                </c:pt>
                <c:pt idx="24">
                  <c:v>0.58259270144460029</c:v>
                </c:pt>
                <c:pt idx="25">
                  <c:v>0.45312765667913346</c:v>
                </c:pt>
                <c:pt idx="26">
                  <c:v>1.1004528805064673</c:v>
                </c:pt>
              </c:numCache>
            </c:numRef>
          </c:val>
        </c:ser>
        <c:ser>
          <c:idx val="3"/>
          <c:order val="2"/>
          <c:tx>
            <c:strRef>
              <c:f>Australia!$E$139</c:f>
              <c:strCache>
                <c:ptCount val="1"/>
                <c:pt idx="0">
                  <c:v>Energy recovery</c:v>
                </c:pt>
              </c:strCache>
            </c:strRef>
          </c:tx>
          <c:spPr>
            <a:solidFill>
              <a:srgbClr val="E46C0A"/>
            </a:solidFill>
          </c:spPr>
          <c:dLbls>
            <c:dLbl>
              <c:idx val="2"/>
              <c:delete val="1"/>
            </c:dLbl>
            <c:dLbl>
              <c:idx val="10"/>
              <c:delete val="1"/>
            </c:dLbl>
            <c:dLbl>
              <c:idx val="14"/>
              <c:delete val="1"/>
            </c:dLbl>
            <c:dLbl>
              <c:idx val="22"/>
              <c:delete val="1"/>
            </c:dLbl>
            <c:dLbl>
              <c:idx val="26"/>
              <c:delete val="1"/>
            </c:dLbl>
            <c:showVal val="1"/>
          </c:dLbls>
          <c:cat>
            <c:strRef>
              <c:f>Australia!$B$143:$B$170</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Australia!$E$143:$E$170</c:f>
              <c:numCache>
                <c:formatCode>#,##0.0</c:formatCode>
                <c:ptCount val="28"/>
                <c:pt idx="0">
                  <c:v>0.27412383808859825</c:v>
                </c:pt>
                <c:pt idx="1">
                  <c:v>0.18982505420182855</c:v>
                </c:pt>
                <c:pt idx="2" formatCode="#,##0.00">
                  <c:v>1.8576188858691615E-2</c:v>
                </c:pt>
                <c:pt idx="4" formatCode="#,##0.00">
                  <c:v>9.4913340946544463E-3</c:v>
                </c:pt>
                <c:pt idx="5" formatCode="#,##0.000">
                  <c:v>2.8755146327004068E-3</c:v>
                </c:pt>
                <c:pt idx="6" formatCode="#,##0.000">
                  <c:v>1.4651446862884423E-3</c:v>
                </c:pt>
                <c:pt idx="8">
                  <c:v>0.23752827677507676</c:v>
                </c:pt>
                <c:pt idx="9">
                  <c:v>0.11028004508716732</c:v>
                </c:pt>
                <c:pt idx="10" formatCode="#,##0.00">
                  <c:v>7.7705972228557666E-3</c:v>
                </c:pt>
                <c:pt idx="12" formatCode="#,##0.00">
                  <c:v>4.005935790702405E-2</c:v>
                </c:pt>
                <c:pt idx="13">
                  <c:v>7.4236471964451017E-2</c:v>
                </c:pt>
                <c:pt idx="14" formatCode="#,##0.00">
                  <c:v>2.191402192326147E-2</c:v>
                </c:pt>
                <c:pt idx="16" formatCode="#,##0.00">
                  <c:v>1.7270246898259688E-2</c:v>
                </c:pt>
                <c:pt idx="17" formatCode="#,##0.00">
                  <c:v>2.1984543635987973E-2</c:v>
                </c:pt>
                <c:pt idx="18" formatCode="#,##0.000">
                  <c:v>5.8726317920492215E-4</c:v>
                </c:pt>
                <c:pt idx="20">
                  <c:v>0.21916048530153953</c:v>
                </c:pt>
                <c:pt idx="21">
                  <c:v>8.0377808597069056E-2</c:v>
                </c:pt>
                <c:pt idx="22" formatCode="#,##0.000">
                  <c:v>1.7435863399844081E-3</c:v>
                </c:pt>
                <c:pt idx="24">
                  <c:v>7.4313271483757062E-2</c:v>
                </c:pt>
                <c:pt idx="25">
                  <c:v>7.6564514697791394E-2</c:v>
                </c:pt>
                <c:pt idx="26" formatCode="#,##0.00">
                  <c:v>7.8875280324425326E-3</c:v>
                </c:pt>
              </c:numCache>
            </c:numRef>
          </c:val>
        </c:ser>
        <c:dLbls/>
        <c:gapWidth val="26"/>
        <c:overlap val="100"/>
        <c:axId val="147527936"/>
        <c:axId val="147537920"/>
      </c:barChart>
      <c:catAx>
        <c:axId val="147527936"/>
        <c:scaling>
          <c:orientation val="minMax"/>
        </c:scaling>
        <c:axPos val="b"/>
        <c:tickLblPos val="nextTo"/>
        <c:spPr>
          <a:ln>
            <a:noFill/>
          </a:ln>
        </c:spPr>
        <c:crossAx val="147537920"/>
        <c:crosses val="autoZero"/>
        <c:auto val="1"/>
        <c:lblAlgn val="ctr"/>
        <c:lblOffset val="100"/>
      </c:catAx>
      <c:valAx>
        <c:axId val="147537920"/>
        <c:scaling>
          <c:orientation val="minMax"/>
          <c:max val="1"/>
        </c:scaling>
        <c:axPos val="l"/>
        <c:majorGridlines/>
        <c:numFmt formatCode="0%" sourceLinked="0"/>
        <c:tickLblPos val="nextTo"/>
        <c:spPr>
          <a:ln>
            <a:noFill/>
          </a:ln>
        </c:spPr>
        <c:crossAx val="147527936"/>
        <c:crosses val="autoZero"/>
        <c:crossBetween val="between"/>
      </c:valAx>
    </c:plotArea>
    <c:legend>
      <c:legendPos val="t"/>
    </c:legend>
    <c:plotVisOnly val="1"/>
    <c:dispBlanksAs val="gap"/>
  </c:chart>
  <c:spPr>
    <a:ln>
      <a:noFill/>
    </a:ln>
  </c:spPr>
  <c:printSettings>
    <c:headerFooter/>
    <c:pageMargins b="0.75000000000000089" l="0.70000000000000062" r="0.70000000000000062" t="0.75000000000000089"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9.9510723321746958E-2"/>
          <c:y val="9.7737314840001852E-2"/>
          <c:w val="0.88681255691557825"/>
          <c:h val="0.80862203451940673"/>
        </c:manualLayout>
      </c:layout>
      <c:barChart>
        <c:barDir val="col"/>
        <c:grouping val="stacked"/>
        <c:ser>
          <c:idx val="1"/>
          <c:order val="0"/>
          <c:tx>
            <c:strRef>
              <c:f>Australia!$C$139</c:f>
              <c:strCache>
                <c:ptCount val="1"/>
                <c:pt idx="0">
                  <c:v>Disposal</c:v>
                </c:pt>
              </c:strCache>
            </c:strRef>
          </c:tx>
          <c:spPr>
            <a:solidFill>
              <a:srgbClr val="953735"/>
            </a:solidFill>
          </c:spPr>
          <c:dLbls>
            <c:txPr>
              <a:bodyPr/>
              <a:lstStyle/>
              <a:p>
                <a:pPr>
                  <a:defRPr>
                    <a:solidFill>
                      <a:schemeClr val="bg1"/>
                    </a:solidFill>
                  </a:defRPr>
                </a:pPr>
                <a:endParaRPr lang="en-US"/>
              </a:p>
            </c:txPr>
            <c:showVal val="1"/>
          </c:dLbls>
          <c:cat>
            <c:strRef>
              <c:f>Australia!$B$180:$B$206</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Australia!$C$180:$C$206</c:f>
              <c:numCache>
                <c:formatCode>#,##0.00</c:formatCode>
                <c:ptCount val="27"/>
                <c:pt idx="0">
                  <c:v>0.28159006720854529</c:v>
                </c:pt>
                <c:pt idx="1">
                  <c:v>0.30354520235732851</c:v>
                </c:pt>
                <c:pt idx="2">
                  <c:v>0.24076085604879965</c:v>
                </c:pt>
                <c:pt idx="4">
                  <c:v>0.49950016900468686</c:v>
                </c:pt>
                <c:pt idx="5">
                  <c:v>0.16355837880965959</c:v>
                </c:pt>
                <c:pt idx="6">
                  <c:v>0.5342721968885531</c:v>
                </c:pt>
                <c:pt idx="8">
                  <c:v>0.35963393625152479</c:v>
                </c:pt>
                <c:pt idx="9">
                  <c:v>0.2467178272097911</c:v>
                </c:pt>
                <c:pt idx="10">
                  <c:v>0.19710618628151566</c:v>
                </c:pt>
                <c:pt idx="12">
                  <c:v>0.18776809000773811</c:v>
                </c:pt>
                <c:pt idx="13">
                  <c:v>0.10026563094243138</c:v>
                </c:pt>
                <c:pt idx="14">
                  <c:v>0.25190085602615009</c:v>
                </c:pt>
                <c:pt idx="16">
                  <c:v>0.30211507172650476</c:v>
                </c:pt>
                <c:pt idx="17">
                  <c:v>0.41820422790477818</c:v>
                </c:pt>
                <c:pt idx="18">
                  <c:v>7.4865180580458213E-2</c:v>
                </c:pt>
                <c:pt idx="20">
                  <c:v>0.29888296141305365</c:v>
                </c:pt>
                <c:pt idx="21">
                  <c:v>0.27708335224850222</c:v>
                </c:pt>
                <c:pt idx="22">
                  <c:v>0.2513858286807536</c:v>
                </c:pt>
                <c:pt idx="24">
                  <c:v>0.41373678496580829</c:v>
                </c:pt>
                <c:pt idx="25">
                  <c:v>0.43358384771103631</c:v>
                </c:pt>
                <c:pt idx="26">
                  <c:v>0.7246246478839431</c:v>
                </c:pt>
              </c:numCache>
            </c:numRef>
          </c:val>
        </c:ser>
        <c:ser>
          <c:idx val="2"/>
          <c:order val="1"/>
          <c:tx>
            <c:strRef>
              <c:f>Australia!$D$139</c:f>
              <c:strCache>
                <c:ptCount val="1"/>
                <c:pt idx="0">
                  <c:v>Recycling</c:v>
                </c:pt>
              </c:strCache>
            </c:strRef>
          </c:tx>
          <c:spPr>
            <a:solidFill>
              <a:srgbClr val="FFC000"/>
            </a:solidFill>
          </c:spPr>
          <c:dLbls>
            <c:dLbl>
              <c:idx val="4"/>
              <c:numFmt formatCode="#,##0.00" sourceLinked="0"/>
              <c:spPr/>
              <c:txPr>
                <a:bodyPr/>
                <a:lstStyle/>
                <a:p>
                  <a:pPr>
                    <a:defRPr/>
                  </a:pPr>
                  <a:endParaRPr lang="en-US"/>
                </a:p>
              </c:txPr>
            </c:dLbl>
            <c:dLbl>
              <c:idx val="5"/>
              <c:delete val="1"/>
            </c:dLbl>
            <c:dLbl>
              <c:idx val="6"/>
              <c:delete val="1"/>
            </c:dLbl>
            <c:dLbl>
              <c:idx val="18"/>
              <c:delete val="1"/>
            </c:dLbl>
            <c:showVal val="1"/>
          </c:dLbls>
          <c:cat>
            <c:strRef>
              <c:f>Australia!$B$180:$B$206</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Australia!$D$180:$D$206</c:f>
              <c:numCache>
                <c:formatCode>#,##0.00</c:formatCode>
                <c:ptCount val="27"/>
                <c:pt idx="0">
                  <c:v>0.34185233669533349</c:v>
                </c:pt>
                <c:pt idx="1">
                  <c:v>0.43124595750394229</c:v>
                </c:pt>
                <c:pt idx="2">
                  <c:v>0.71737511111157493</c:v>
                </c:pt>
                <c:pt idx="4">
                  <c:v>5.874614341409852E-2</c:v>
                </c:pt>
                <c:pt idx="5">
                  <c:v>1.8931451875029794E-3</c:v>
                </c:pt>
                <c:pt idx="6">
                  <c:v>0</c:v>
                </c:pt>
                <c:pt idx="8">
                  <c:v>0.27380876324758974</c:v>
                </c:pt>
                <c:pt idx="9">
                  <c:v>0.24130043545413482</c:v>
                </c:pt>
                <c:pt idx="10">
                  <c:v>0.2871370643218375</c:v>
                </c:pt>
                <c:pt idx="12">
                  <c:v>0.26789811280228848</c:v>
                </c:pt>
                <c:pt idx="13">
                  <c:v>0.73063121673351406</c:v>
                </c:pt>
                <c:pt idx="14">
                  <c:v>0.74280840367907242</c:v>
                </c:pt>
                <c:pt idx="16">
                  <c:v>0.16921440158736648</c:v>
                </c:pt>
                <c:pt idx="17">
                  <c:v>0.13825974502419197</c:v>
                </c:pt>
                <c:pt idx="18">
                  <c:v>0</c:v>
                </c:pt>
                <c:pt idx="20">
                  <c:v>0.2801536575318343</c:v>
                </c:pt>
                <c:pt idx="21">
                  <c:v>0.45090133381925551</c:v>
                </c:pt>
                <c:pt idx="22">
                  <c:v>0.57001805610577483</c:v>
                </c:pt>
                <c:pt idx="24">
                  <c:v>0.2500896697934063</c:v>
                </c:pt>
                <c:pt idx="25">
                  <c:v>0.1945141876170938</c:v>
                </c:pt>
                <c:pt idx="26">
                  <c:v>0.47239159849865647</c:v>
                </c:pt>
              </c:numCache>
            </c:numRef>
          </c:val>
        </c:ser>
        <c:ser>
          <c:idx val="3"/>
          <c:order val="2"/>
          <c:tx>
            <c:strRef>
              <c:f>Australia!$E$139</c:f>
              <c:strCache>
                <c:ptCount val="1"/>
                <c:pt idx="0">
                  <c:v>Energy recovery</c:v>
                </c:pt>
              </c:strCache>
            </c:strRef>
          </c:tx>
          <c:spPr>
            <a:solidFill>
              <a:srgbClr val="E46C0A"/>
            </a:solidFill>
          </c:spPr>
          <c:dLbls>
            <c:dLbl>
              <c:idx val="2"/>
              <c:delete val="1"/>
            </c:dLbl>
            <c:dLbl>
              <c:idx val="4"/>
              <c:numFmt formatCode="#,##0.00" sourceLinked="0"/>
              <c:spPr/>
              <c:txPr>
                <a:bodyPr/>
                <a:lstStyle/>
                <a:p>
                  <a:pPr>
                    <a:defRPr/>
                  </a:pPr>
                  <a:endParaRPr lang="en-US"/>
                </a:p>
              </c:txPr>
            </c:dLbl>
            <c:dLbl>
              <c:idx val="10"/>
              <c:delete val="1"/>
            </c:dLbl>
            <c:dLbl>
              <c:idx val="18"/>
              <c:delete val="1"/>
            </c:dLbl>
            <c:dLbl>
              <c:idx val="22"/>
              <c:delete val="1"/>
            </c:dLbl>
            <c:dLbl>
              <c:idx val="26"/>
              <c:delete val="1"/>
            </c:dLbl>
            <c:showVal val="1"/>
          </c:dLbls>
          <c:cat>
            <c:strRef>
              <c:f>Australia!$B$180:$B$206</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Australia!$E$180:$E$206</c:f>
              <c:numCache>
                <c:formatCode>#,##0.00</c:formatCode>
                <c:ptCount val="27"/>
                <c:pt idx="0">
                  <c:v>3.81399570999107E-2</c:v>
                </c:pt>
                <c:pt idx="1">
                  <c:v>2.6411126716407579E-2</c:v>
                </c:pt>
                <c:pt idx="2">
                  <c:v>2.5845802068528889E-3</c:v>
                </c:pt>
                <c:pt idx="4">
                  <c:v>4.1133789950960363E-2</c:v>
                </c:pt>
                <c:pt idx="5">
                  <c:v>1.2461979920086012E-2</c:v>
                </c:pt>
                <c:pt idx="6">
                  <c:v>6.3496820544434382E-3</c:v>
                </c:pt>
                <c:pt idx="8">
                  <c:v>5.3322374575747934E-2</c:v>
                </c:pt>
                <c:pt idx="9">
                  <c:v>2.4756605622734521E-2</c:v>
                </c:pt>
                <c:pt idx="10">
                  <c:v>1.7444099768666288E-3</c:v>
                </c:pt>
                <c:pt idx="12">
                  <c:v>2.4502747371477972E-2</c:v>
                </c:pt>
                <c:pt idx="13">
                  <c:v>4.5407555520898785E-2</c:v>
                </c:pt>
                <c:pt idx="14">
                  <c:v>1.3403952812347887E-2</c:v>
                </c:pt>
                <c:pt idx="16">
                  <c:v>3.384937419881507E-2</c:v>
                </c:pt>
                <c:pt idx="17">
                  <c:v>4.3089311259338403E-2</c:v>
                </c:pt>
                <c:pt idx="18">
                  <c:v>1.1510252993601584E-3</c:v>
                </c:pt>
                <c:pt idx="20">
                  <c:v>3.9776499130714911E-2</c:v>
                </c:pt>
                <c:pt idx="21">
                  <c:v>1.4588158213791051E-2</c:v>
                </c:pt>
                <c:pt idx="22">
                  <c:v>3.164519390495665E-4</c:v>
                </c:pt>
                <c:pt idx="24">
                  <c:v>3.1900470913139037E-2</c:v>
                </c:pt>
                <c:pt idx="25">
                  <c:v>3.2866862477308037E-2</c:v>
                </c:pt>
                <c:pt idx="26">
                  <c:v>3.3858805237836744E-3</c:v>
                </c:pt>
              </c:numCache>
            </c:numRef>
          </c:val>
        </c:ser>
        <c:ser>
          <c:idx val="0"/>
          <c:order val="3"/>
          <c:tx>
            <c:strRef>
              <c:f>Australia!$F$139</c:f>
              <c:strCache>
                <c:ptCount val="1"/>
                <c:pt idx="0">
                  <c:v>Recovery rate</c:v>
                </c:pt>
              </c:strCache>
            </c:strRef>
          </c:tx>
          <c:spPr>
            <a:noFill/>
          </c:spPr>
          <c:dLbls>
            <c:dLblPos val="inBase"/>
            <c:showVal val="1"/>
          </c:dLbls>
          <c:cat>
            <c:strRef>
              <c:f>Australia!$B$180:$B$206</c:f>
              <c:strCache>
                <c:ptCount val="27"/>
                <c:pt idx="0">
                  <c:v>MSW</c:v>
                </c:pt>
                <c:pt idx="1">
                  <c:v>C&amp;I
NSW</c:v>
                </c:pt>
                <c:pt idx="2">
                  <c:v>C&amp;D</c:v>
                </c:pt>
                <c:pt idx="4">
                  <c:v>MSW</c:v>
                </c:pt>
                <c:pt idx="5">
                  <c:v>C&amp;I
NT</c:v>
                </c:pt>
                <c:pt idx="6">
                  <c:v>C&amp;D</c:v>
                </c:pt>
                <c:pt idx="8">
                  <c:v>MSW</c:v>
                </c:pt>
                <c:pt idx="9">
                  <c:v>C&amp;I
Qld</c:v>
                </c:pt>
                <c:pt idx="10">
                  <c:v>C&amp;D</c:v>
                </c:pt>
                <c:pt idx="12">
                  <c:v>MSW</c:v>
                </c:pt>
                <c:pt idx="13">
                  <c:v>C&amp;I
SA</c:v>
                </c:pt>
                <c:pt idx="14">
                  <c:v>C&amp;D</c:v>
                </c:pt>
                <c:pt idx="16">
                  <c:v>MSW</c:v>
                </c:pt>
                <c:pt idx="17">
                  <c:v>C&amp;I
Tas</c:v>
                </c:pt>
                <c:pt idx="18">
                  <c:v>C&amp;D</c:v>
                </c:pt>
                <c:pt idx="20">
                  <c:v>MSW</c:v>
                </c:pt>
                <c:pt idx="21">
                  <c:v>C&amp;I
Vic</c:v>
                </c:pt>
                <c:pt idx="22">
                  <c:v>C&amp;D</c:v>
                </c:pt>
                <c:pt idx="24">
                  <c:v>MSW</c:v>
                </c:pt>
                <c:pt idx="25">
                  <c:v>C&amp;I
WA</c:v>
                </c:pt>
                <c:pt idx="26">
                  <c:v>C&amp;D</c:v>
                </c:pt>
              </c:strCache>
            </c:strRef>
          </c:cat>
          <c:val>
            <c:numRef>
              <c:f>Australia!$F$180:$F$206</c:f>
              <c:numCache>
                <c:formatCode>0%</c:formatCode>
                <c:ptCount val="27"/>
                <c:pt idx="0">
                  <c:v>0.57436884081779138</c:v>
                </c:pt>
                <c:pt idx="1">
                  <c:v>0.60122925573167907</c:v>
                </c:pt>
                <c:pt idx="2">
                  <c:v>0.74939553785064317</c:v>
                </c:pt>
                <c:pt idx="4">
                  <c:v>0.16663872052169812</c:v>
                </c:pt>
                <c:pt idx="5">
                  <c:v>8.0685978250790172E-2</c:v>
                </c:pt>
                <c:pt idx="6">
                  <c:v>1.1745144437842761E-2</c:v>
                </c:pt>
                <c:pt idx="8">
                  <c:v>0.47633630505164276</c:v>
                </c:pt>
                <c:pt idx="9">
                  <c:v>0.51885741195906943</c:v>
                </c:pt>
                <c:pt idx="10">
                  <c:v>0.59442141793025993</c:v>
                </c:pt>
                <c:pt idx="12">
                  <c:v>0.60895411930163024</c:v>
                </c:pt>
                <c:pt idx="13">
                  <c:v>0.88558127680672094</c:v>
                </c:pt>
                <c:pt idx="14">
                  <c:v>0.7501264214194</c:v>
                </c:pt>
                <c:pt idx="16">
                  <c:v>0.40196412970573181</c:v>
                </c:pt>
                <c:pt idx="17">
                  <c:v>0.302473626725347</c:v>
                </c:pt>
                <c:pt idx="18">
                  <c:v>1.5141840954018798E-2</c:v>
                </c:pt>
                <c:pt idx="20">
                  <c:v>0.51700609976962719</c:v>
                </c:pt>
                <c:pt idx="21">
                  <c:v>0.6268603755412242</c:v>
                </c:pt>
                <c:pt idx="22">
                  <c:v>0.69407374085143714</c:v>
                </c:pt>
                <c:pt idx="24">
                  <c:v>0.40531727363293979</c:v>
                </c:pt>
                <c:pt idx="25">
                  <c:v>0.34401380595151332</c:v>
                </c:pt>
                <c:pt idx="26">
                  <c:v>0.39634841388409592</c:v>
                </c:pt>
              </c:numCache>
            </c:numRef>
          </c:val>
        </c:ser>
        <c:dLbls>
          <c:showVal val="1"/>
        </c:dLbls>
        <c:gapWidth val="26"/>
        <c:overlap val="100"/>
        <c:axId val="149267200"/>
        <c:axId val="149268736"/>
      </c:barChart>
      <c:catAx>
        <c:axId val="149267200"/>
        <c:scaling>
          <c:orientation val="minMax"/>
        </c:scaling>
        <c:axPos val="b"/>
        <c:tickLblPos val="nextTo"/>
        <c:spPr>
          <a:ln>
            <a:noFill/>
          </a:ln>
        </c:spPr>
        <c:txPr>
          <a:bodyPr/>
          <a:lstStyle/>
          <a:p>
            <a:pPr>
              <a:defRPr sz="1200"/>
            </a:pPr>
            <a:endParaRPr lang="en-US"/>
          </a:p>
        </c:txPr>
        <c:crossAx val="149268736"/>
        <c:crosses val="autoZero"/>
        <c:auto val="1"/>
        <c:lblAlgn val="ctr"/>
        <c:lblOffset val="100"/>
      </c:catAx>
      <c:valAx>
        <c:axId val="149268736"/>
        <c:scaling>
          <c:orientation val="minMax"/>
          <c:max val="1.3"/>
          <c:min val="0"/>
        </c:scaling>
        <c:axPos val="l"/>
        <c:majorGridlines/>
        <c:title>
          <c:tx>
            <c:rich>
              <a:bodyPr rot="-5400000" vert="horz"/>
              <a:lstStyle/>
              <a:p>
                <a:pPr>
                  <a:defRPr sz="1200"/>
                </a:pPr>
                <a:r>
                  <a:rPr lang="en-US" sz="1200"/>
                  <a:t>Tonnes per capita</a:t>
                </a:r>
              </a:p>
            </c:rich>
          </c:tx>
          <c:layout>
            <c:manualLayout>
              <c:xMode val="edge"/>
              <c:yMode val="edge"/>
              <c:x val="2.199313190857095E-2"/>
              <c:y val="0.39609558180227555"/>
            </c:manualLayout>
          </c:layout>
        </c:title>
        <c:numFmt formatCode="#,##0.0" sourceLinked="0"/>
        <c:tickLblPos val="nextTo"/>
        <c:spPr>
          <a:ln>
            <a:noFill/>
          </a:ln>
        </c:spPr>
        <c:txPr>
          <a:bodyPr/>
          <a:lstStyle/>
          <a:p>
            <a:pPr>
              <a:defRPr sz="1200"/>
            </a:pPr>
            <a:endParaRPr lang="en-US"/>
          </a:p>
        </c:txPr>
        <c:crossAx val="149267200"/>
        <c:crosses val="autoZero"/>
        <c:crossBetween val="between"/>
      </c:valAx>
    </c:plotArea>
    <c:legend>
      <c:legendPos val="t"/>
      <c:legendEntry>
        <c:idx val="3"/>
        <c:delete val="1"/>
      </c:legendEntry>
      <c:txPr>
        <a:bodyPr/>
        <a:lstStyle/>
        <a:p>
          <a:pPr>
            <a:defRPr sz="1200"/>
          </a:pPr>
          <a:endParaRPr lang="en-US"/>
        </a:p>
      </c:txPr>
    </c:legend>
    <c:plotVisOnly val="1"/>
    <c:dispBlanksAs val="gap"/>
  </c:chart>
  <c:spPr>
    <a:ln>
      <a:noFill/>
    </a:ln>
  </c:spPr>
  <c:printSettings>
    <c:headerFooter/>
    <c:pageMargins b="0.75000000000000089" l="0.70000000000000062" r="0.70000000000000062" t="0.75000000000000089"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AU"/>
  <c:chart>
    <c:plotArea>
      <c:layout/>
      <c:barChart>
        <c:barDir val="col"/>
        <c:grouping val="clustered"/>
        <c:ser>
          <c:idx val="0"/>
          <c:order val="0"/>
          <c:dLbls>
            <c:showVal val="1"/>
          </c:dLbls>
          <c:cat>
            <c:strRef>
              <c:f>'Australian context'!$A$4:$A$11</c:f>
              <c:strCache>
                <c:ptCount val="8"/>
                <c:pt idx="0">
                  <c:v>ACT</c:v>
                </c:pt>
                <c:pt idx="1">
                  <c:v>NSW</c:v>
                </c:pt>
                <c:pt idx="2">
                  <c:v>NT</c:v>
                </c:pt>
                <c:pt idx="3">
                  <c:v>Qld</c:v>
                </c:pt>
                <c:pt idx="4">
                  <c:v>SA</c:v>
                </c:pt>
                <c:pt idx="5">
                  <c:v>Tas</c:v>
                </c:pt>
                <c:pt idx="6">
                  <c:v>Vic</c:v>
                </c:pt>
                <c:pt idx="7">
                  <c:v>WA</c:v>
                </c:pt>
              </c:strCache>
            </c:strRef>
          </c:cat>
          <c:val>
            <c:numRef>
              <c:f>'Australian context'!$B$4:$B$11</c:f>
              <c:numCache>
                <c:formatCode>"$"#,##0;[Red]\-"$"#,##0</c:formatCode>
                <c:ptCount val="8"/>
                <c:pt idx="0">
                  <c:v>1920</c:v>
                </c:pt>
                <c:pt idx="1">
                  <c:v>1237</c:v>
                </c:pt>
                <c:pt idx="2">
                  <c:v>1674</c:v>
                </c:pt>
                <c:pt idx="3">
                  <c:v>1235</c:v>
                </c:pt>
                <c:pt idx="4">
                  <c:v>1044</c:v>
                </c:pt>
                <c:pt idx="5">
                  <c:v>948</c:v>
                </c:pt>
                <c:pt idx="6">
                  <c:v>1216</c:v>
                </c:pt>
                <c:pt idx="7">
                  <c:v>1415</c:v>
                </c:pt>
              </c:numCache>
            </c:numRef>
          </c:val>
        </c:ser>
        <c:dLbls/>
        <c:axId val="149631360"/>
        <c:axId val="149632896"/>
      </c:barChart>
      <c:catAx>
        <c:axId val="149631360"/>
        <c:scaling>
          <c:orientation val="minMax"/>
        </c:scaling>
        <c:axPos val="b"/>
        <c:tickLblPos val="nextTo"/>
        <c:crossAx val="149632896"/>
        <c:crosses val="autoZero"/>
        <c:auto val="1"/>
        <c:lblAlgn val="ctr"/>
        <c:lblOffset val="100"/>
      </c:catAx>
      <c:valAx>
        <c:axId val="149632896"/>
        <c:scaling>
          <c:orientation val="minMax"/>
        </c:scaling>
        <c:axPos val="l"/>
        <c:majorGridlines/>
        <c:title>
          <c:tx>
            <c:rich>
              <a:bodyPr rot="-5400000" vert="horz"/>
              <a:lstStyle/>
              <a:p>
                <a:pPr>
                  <a:defRPr/>
                </a:pPr>
                <a:r>
                  <a:rPr lang="en-AU"/>
                  <a:t>Income dollars per HH per year</a:t>
                </a:r>
              </a:p>
            </c:rich>
          </c:tx>
        </c:title>
        <c:numFmt formatCode="&quot;$&quot;#,##0;[Red]\-&quot;$&quot;#,##0" sourceLinked="1"/>
        <c:tickLblPos val="nextTo"/>
        <c:spPr>
          <a:ln>
            <a:noFill/>
          </a:ln>
        </c:spPr>
        <c:crossAx val="149631360"/>
        <c:crosses val="autoZero"/>
        <c:crossBetween val="between"/>
      </c:valAx>
      <c:spPr>
        <a:noFill/>
      </c:spPr>
    </c:plotArea>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45"/>
          <c:y val="0.16317884983295219"/>
          <c:w val="0.78381714785651757"/>
          <c:h val="0.72063954730382285"/>
        </c:manualLayout>
      </c:layout>
      <c:barChart>
        <c:barDir val="col"/>
        <c:grouping val="stacked"/>
        <c:ser>
          <c:idx val="0"/>
          <c:order val="0"/>
          <c:tx>
            <c:strRef>
              <c:f>NSW!$BG$10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(NSW!$BH$7,NSW!$BM$7)</c:f>
              <c:strCache>
                <c:ptCount val="2"/>
                <c:pt idx="0">
                  <c:v>2010/11 excl. fly ash</c:v>
                </c:pt>
                <c:pt idx="1">
                  <c:v>2010/11 incl. fly ash</c:v>
                </c:pt>
              </c:strCache>
            </c:strRef>
          </c:cat>
          <c:val>
            <c:numRef>
              <c:f>(NSW!$BK$10,NSW!$BM$10)</c:f>
              <c:numCache>
                <c:formatCode>#,##0</c:formatCode>
                <c:ptCount val="2"/>
                <c:pt idx="0">
                  <c:v>5935.9745797020696</c:v>
                </c:pt>
                <c:pt idx="1">
                  <c:v>7564.6171425970288</c:v>
                </c:pt>
              </c:numCache>
            </c:numRef>
          </c:val>
        </c:ser>
        <c:ser>
          <c:idx val="1"/>
          <c:order val="1"/>
          <c:tx>
            <c:strRef>
              <c:f>NSW!$BG$11</c:f>
              <c:strCache>
                <c:ptCount val="1"/>
                <c:pt idx="0">
                  <c:v>Recycling</c:v>
                </c:pt>
              </c:strCache>
            </c:strRef>
          </c:tx>
          <c:spPr>
            <a:solidFill>
              <a:srgbClr val="FFCC00"/>
            </a:solidFill>
          </c:spPr>
          <c:dLbls>
            <c:showVal val="1"/>
          </c:dLbls>
          <c:cat>
            <c:strRef>
              <c:f>(NSW!$BH$7,NSW!$BM$7)</c:f>
              <c:strCache>
                <c:ptCount val="2"/>
                <c:pt idx="0">
                  <c:v>2010/11 excl. fly ash</c:v>
                </c:pt>
                <c:pt idx="1">
                  <c:v>2010/11 incl. fly ash</c:v>
                </c:pt>
              </c:strCache>
            </c:strRef>
          </c:cat>
          <c:val>
            <c:numRef>
              <c:f>(NSW!$BK$11,NSW!$BM$11)</c:f>
              <c:numCache>
                <c:formatCode>#,##0</c:formatCode>
                <c:ptCount val="2"/>
                <c:pt idx="0">
                  <c:v>10712.5</c:v>
                </c:pt>
                <c:pt idx="1">
                  <c:v>13589.098982335672</c:v>
                </c:pt>
              </c:numCache>
            </c:numRef>
          </c:val>
        </c:ser>
        <c:ser>
          <c:idx val="2"/>
          <c:order val="2"/>
          <c:tx>
            <c:strRef>
              <c:f>NSW!$BG$12</c:f>
              <c:strCache>
                <c:ptCount val="1"/>
                <c:pt idx="0">
                  <c:v>Energy recovery</c:v>
                </c:pt>
              </c:strCache>
            </c:strRef>
          </c:tx>
          <c:spPr>
            <a:solidFill>
              <a:schemeClr val="accent6">
                <a:lumMod val="75000"/>
              </a:schemeClr>
            </a:solidFill>
          </c:spPr>
          <c:dLbls>
            <c:dLbl>
              <c:idx val="0"/>
              <c:layout>
                <c:manualLayout>
                  <c:x val="-2.1371375521569907E-7"/>
                  <c:y val="9.2753640123910096E-3"/>
                </c:manualLayout>
              </c:layout>
              <c:showVal val="1"/>
            </c:dLbl>
            <c:dLbl>
              <c:idx val="1"/>
              <c:layout>
                <c:manualLayout>
                  <c:x val="-2.1371375521569907E-7"/>
                  <c:y val="9.2753640123910547E-3"/>
                </c:manualLayout>
              </c:layout>
              <c:showVal val="1"/>
            </c:dLbl>
            <c:showVal val="1"/>
          </c:dLbls>
          <c:cat>
            <c:strRef>
              <c:f>(NSW!$BH$7,NSW!$BM$7)</c:f>
              <c:strCache>
                <c:ptCount val="2"/>
                <c:pt idx="0">
                  <c:v>2010/11 excl. fly ash</c:v>
                </c:pt>
                <c:pt idx="1">
                  <c:v>2010/11 incl. fly ash</c:v>
                </c:pt>
              </c:strCache>
            </c:strRef>
          </c:cat>
          <c:val>
            <c:numRef>
              <c:f>(NSW!$BK$12,NSW!$BM$12)</c:f>
              <c:numCache>
                <c:formatCode>#,##0</c:formatCode>
                <c:ptCount val="2"/>
                <c:pt idx="0">
                  <c:v>482.52508114911836</c:v>
                </c:pt>
                <c:pt idx="1">
                  <c:v>482.52508114911836</c:v>
                </c:pt>
              </c:numCache>
            </c:numRef>
          </c:val>
        </c:ser>
        <c:ser>
          <c:idx val="3"/>
          <c:order val="3"/>
          <c:tx>
            <c:strRef>
              <c:f>NSW!$BG$13</c:f>
              <c:strCache>
                <c:ptCount val="1"/>
                <c:pt idx="0">
                  <c:v>Recovery rate</c:v>
                </c:pt>
              </c:strCache>
            </c:strRef>
          </c:tx>
          <c:spPr>
            <a:noFill/>
            <a:ln>
              <a:noFill/>
            </a:ln>
          </c:spPr>
          <c:dLbls>
            <c:dLbl>
              <c:idx val="0"/>
              <c:layout>
                <c:manualLayout>
                  <c:x val="0"/>
                  <c:y val="-3.2463774043368594E-2"/>
                </c:manualLayout>
              </c:layout>
              <c:showVal val="1"/>
            </c:dLbl>
            <c:dLbl>
              <c:idx val="1"/>
              <c:layout>
                <c:manualLayout>
                  <c:x val="0"/>
                  <c:y val="-2.3188410030977543E-2"/>
                </c:manualLayout>
              </c:layout>
              <c:showVal val="1"/>
            </c:dLbl>
            <c:showVal val="1"/>
          </c:dLbls>
          <c:cat>
            <c:strRef>
              <c:f>(NSW!$BH$7,NSW!$BM$7)</c:f>
              <c:strCache>
                <c:ptCount val="2"/>
                <c:pt idx="0">
                  <c:v>2010/11 excl. fly ash</c:v>
                </c:pt>
                <c:pt idx="1">
                  <c:v>2010/11 incl. fly ash</c:v>
                </c:pt>
              </c:strCache>
            </c:strRef>
          </c:cat>
          <c:val>
            <c:numRef>
              <c:f>(NSW!$BK$13,NSW!$BM$13)</c:f>
              <c:numCache>
                <c:formatCode>0%</c:formatCode>
                <c:ptCount val="2"/>
                <c:pt idx="0">
                  <c:v>0.65349514346980453</c:v>
                </c:pt>
                <c:pt idx="1">
                  <c:v>0.65037285956718505</c:v>
                </c:pt>
              </c:numCache>
            </c:numRef>
          </c:val>
        </c:ser>
        <c:dLbls/>
        <c:overlap val="100"/>
        <c:axId val="71375104"/>
        <c:axId val="71385088"/>
      </c:barChart>
      <c:catAx>
        <c:axId val="71375104"/>
        <c:scaling>
          <c:orientation val="minMax"/>
        </c:scaling>
        <c:axPos val="b"/>
        <c:majorTickMark val="none"/>
        <c:tickLblPos val="nextTo"/>
        <c:crossAx val="71385088"/>
        <c:crosses val="autoZero"/>
        <c:auto val="1"/>
        <c:lblAlgn val="ctr"/>
        <c:lblOffset val="100"/>
      </c:catAx>
      <c:valAx>
        <c:axId val="71385088"/>
        <c:scaling>
          <c:orientation val="minMax"/>
        </c:scaling>
        <c:axPos val="l"/>
        <c:majorGridlines/>
        <c:title>
          <c:tx>
            <c:rich>
              <a:bodyPr rot="-5400000" vert="horz"/>
              <a:lstStyle/>
              <a:p>
                <a:pPr>
                  <a:defRPr/>
                </a:pPr>
                <a:r>
                  <a:rPr lang="en-US"/>
                  <a:t>Thousands of tonnes</a:t>
                </a:r>
              </a:p>
            </c:rich>
          </c:tx>
          <c:layout>
            <c:manualLayout>
              <c:xMode val="edge"/>
              <c:yMode val="edge"/>
              <c:x val="2.3249919429915136E-2"/>
              <c:y val="0.25832765186856632"/>
            </c:manualLayout>
          </c:layout>
        </c:title>
        <c:numFmt formatCode="#,##0" sourceLinked="1"/>
        <c:tickLblPos val="nextTo"/>
        <c:spPr>
          <a:ln>
            <a:noFill/>
          </a:ln>
        </c:spPr>
        <c:crossAx val="71375104"/>
        <c:crosses val="autoZero"/>
        <c:crossBetween val="between"/>
      </c:valAx>
    </c:plotArea>
    <c:legend>
      <c:legendPos val="t"/>
      <c:legendEntry>
        <c:idx val="3"/>
        <c:delete val="1"/>
      </c:legendEntry>
    </c:legend>
    <c:plotVisOnly val="1"/>
    <c:dispBlanksAs val="gap"/>
  </c:chart>
  <c:spPr>
    <a:ln>
      <a:noFill/>
    </a:ln>
  </c:spPr>
  <c:printSettings>
    <c:headerFooter/>
    <c:pageMargins b="0.75000000000000899" l="0.70000000000000062" r="0.70000000000000062" t="0.75000000000000899"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287813752522934"/>
          <c:y val="4.2599589478715311E-2"/>
          <c:w val="0.8454612126552834"/>
          <c:h val="0.86127897259707675"/>
        </c:manualLayout>
      </c:layout>
      <c:barChart>
        <c:barDir val="col"/>
        <c:grouping val="clustered"/>
        <c:ser>
          <c:idx val="0"/>
          <c:order val="0"/>
          <c:dLbls>
            <c:dLbl>
              <c:idx val="7"/>
              <c:layout>
                <c:manualLayout>
                  <c:x val="-2.0020020020020042E-3"/>
                  <c:y val="-2.6902056127327281E-2"/>
                </c:manualLayout>
              </c:layout>
              <c:showVal val="1"/>
            </c:dLbl>
            <c:dLbl>
              <c:idx val="8"/>
              <c:layout>
                <c:manualLayout>
                  <c:x val="-1.4681178416456057E-16"/>
                  <c:y val="-2.0176542095495475E-2"/>
                </c:manualLayout>
              </c:layout>
              <c:showVal val="1"/>
            </c:dLbl>
            <c:showVal val="1"/>
          </c:dLbls>
          <c:cat>
            <c:strRef>
              <c:f>'Australian context'!$B$36:$J$36</c:f>
              <c:strCache>
                <c:ptCount val="9"/>
                <c:pt idx="0">
                  <c:v>ACT</c:v>
                </c:pt>
                <c:pt idx="1">
                  <c:v>NSW</c:v>
                </c:pt>
                <c:pt idx="2">
                  <c:v>NT</c:v>
                </c:pt>
                <c:pt idx="3">
                  <c:v>Qld</c:v>
                </c:pt>
                <c:pt idx="4">
                  <c:v>SA</c:v>
                </c:pt>
                <c:pt idx="5">
                  <c:v>Tas</c:v>
                </c:pt>
                <c:pt idx="6">
                  <c:v>Vic</c:v>
                </c:pt>
                <c:pt idx="7">
                  <c:v>WA</c:v>
                </c:pt>
                <c:pt idx="8">
                  <c:v>Australia </c:v>
                </c:pt>
              </c:strCache>
            </c:strRef>
          </c:cat>
          <c:val>
            <c:numRef>
              <c:f>'Australian context'!$B$39:$J$39</c:f>
              <c:numCache>
                <c:formatCode>_-"$"* #,##0_-;\-"$"* #,##0_-;_-"$"* "-"??_-;_-@_-</c:formatCode>
                <c:ptCount val="9"/>
                <c:pt idx="0">
                  <c:v>31581.640896243942</c:v>
                </c:pt>
                <c:pt idx="1">
                  <c:v>24782.383305406333</c:v>
                </c:pt>
                <c:pt idx="2">
                  <c:v>56290.735905231886</c:v>
                </c:pt>
                <c:pt idx="3">
                  <c:v>35590.073025592712</c:v>
                </c:pt>
                <c:pt idx="4">
                  <c:v>22594.284966350126</c:v>
                </c:pt>
                <c:pt idx="5">
                  <c:v>40117.648331486052</c:v>
                </c:pt>
                <c:pt idx="6">
                  <c:v>25538.814621162746</c:v>
                </c:pt>
                <c:pt idx="7">
                  <c:v>35782.559593389837</c:v>
                </c:pt>
                <c:pt idx="8">
                  <c:v>28351.218597201805</c:v>
                </c:pt>
              </c:numCache>
            </c:numRef>
          </c:val>
        </c:ser>
        <c:dLbls/>
        <c:axId val="150029824"/>
        <c:axId val="150031360"/>
      </c:barChart>
      <c:catAx>
        <c:axId val="150029824"/>
        <c:scaling>
          <c:orientation val="minMax"/>
        </c:scaling>
        <c:axPos val="b"/>
        <c:tickLblPos val="nextTo"/>
        <c:crossAx val="150031360"/>
        <c:crosses val="autoZero"/>
        <c:auto val="1"/>
        <c:lblAlgn val="ctr"/>
        <c:lblOffset val="100"/>
      </c:catAx>
      <c:valAx>
        <c:axId val="150031360"/>
        <c:scaling>
          <c:orientation val="minMax"/>
          <c:max val="60000"/>
          <c:min val="10000"/>
        </c:scaling>
        <c:axPos val="l"/>
        <c:majorGridlines/>
        <c:title>
          <c:tx>
            <c:rich>
              <a:bodyPr rot="-5400000" vert="horz"/>
              <a:lstStyle/>
              <a:p>
                <a:pPr>
                  <a:defRPr/>
                </a:pPr>
                <a:r>
                  <a:rPr lang="en-AU"/>
                  <a:t>GSP $ per t  waste gen (exc. fly ash)</a:t>
                </a:r>
              </a:p>
            </c:rich>
          </c:tx>
        </c:title>
        <c:numFmt formatCode="_-&quot;$&quot;* #,##0_-;\-&quot;$&quot;* #,##0_-;_-&quot;$&quot;* &quot;-&quot;??_-;_-@_-" sourceLinked="1"/>
        <c:tickLblPos val="nextTo"/>
        <c:spPr>
          <a:ln>
            <a:noFill/>
          </a:ln>
        </c:spPr>
        <c:crossAx val="150029824"/>
        <c:crosses val="autoZero"/>
        <c:crossBetween val="between"/>
      </c:valAx>
    </c:plotArea>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AU"/>
  <c:chart>
    <c:plotArea>
      <c:layout/>
      <c:lineChart>
        <c:grouping val="standard"/>
        <c:ser>
          <c:idx val="0"/>
          <c:order val="0"/>
          <c:tx>
            <c:strRef>
              <c:f>'Australian context'!$B$21</c:f>
              <c:strCache>
                <c:ptCount val="1"/>
                <c:pt idx="0">
                  <c:v>ACT (14%)</c:v>
                </c:pt>
              </c:strCache>
            </c:strRef>
          </c:tx>
          <c:marker>
            <c:symbol val="none"/>
          </c:marker>
          <c:cat>
            <c:strRef>
              <c:f>'Australian context'!$A$24:$A$28</c:f>
              <c:strCache>
                <c:ptCount val="5"/>
                <c:pt idx="0">
                  <c:v>2006/07</c:v>
                </c:pt>
                <c:pt idx="1">
                  <c:v>2007/08</c:v>
                </c:pt>
                <c:pt idx="2">
                  <c:v>2008/09</c:v>
                </c:pt>
                <c:pt idx="3">
                  <c:v>2009/10</c:v>
                </c:pt>
                <c:pt idx="4">
                  <c:v>2010/11</c:v>
                </c:pt>
              </c:strCache>
            </c:strRef>
          </c:cat>
          <c:val>
            <c:numRef>
              <c:f>'Australian context'!$B$24:$B$28</c:f>
              <c:numCache>
                <c:formatCode>_-* #,##0_-;\-* #,##0_-;_-* "-"??_-;_-@_-</c:formatCode>
                <c:ptCount val="5"/>
                <c:pt idx="0">
                  <c:v>26.645</c:v>
                </c:pt>
                <c:pt idx="1">
                  <c:v>27.483000000000001</c:v>
                </c:pt>
                <c:pt idx="2">
                  <c:v>28.617999999999999</c:v>
                </c:pt>
                <c:pt idx="3">
                  <c:v>29.509</c:v>
                </c:pt>
                <c:pt idx="4">
                  <c:v>30.454999999999998</c:v>
                </c:pt>
              </c:numCache>
            </c:numRef>
          </c:val>
        </c:ser>
        <c:ser>
          <c:idx val="1"/>
          <c:order val="1"/>
          <c:tx>
            <c:strRef>
              <c:f>'Australian context'!$C$21</c:f>
              <c:strCache>
                <c:ptCount val="1"/>
                <c:pt idx="0">
                  <c:v>NSW (9%)</c:v>
                </c:pt>
              </c:strCache>
            </c:strRef>
          </c:tx>
          <c:marker>
            <c:symbol val="none"/>
          </c:marker>
          <c:cat>
            <c:strRef>
              <c:f>'Australian context'!$A$24:$A$28</c:f>
              <c:strCache>
                <c:ptCount val="5"/>
                <c:pt idx="0">
                  <c:v>2006/07</c:v>
                </c:pt>
                <c:pt idx="1">
                  <c:v>2007/08</c:v>
                </c:pt>
                <c:pt idx="2">
                  <c:v>2008/09</c:v>
                </c:pt>
                <c:pt idx="3">
                  <c:v>2009/10</c:v>
                </c:pt>
                <c:pt idx="4">
                  <c:v>2010/11</c:v>
                </c:pt>
              </c:strCache>
            </c:strRef>
          </c:cat>
          <c:val>
            <c:numRef>
              <c:f>'Australian context'!$C$24:$C$28</c:f>
              <c:numCache>
                <c:formatCode>_-* #,##0_-;\-* #,##0_-;_-* "-"??_-;_-@_-</c:formatCode>
                <c:ptCount val="5"/>
                <c:pt idx="0">
                  <c:v>400.74700000000001</c:v>
                </c:pt>
                <c:pt idx="1">
                  <c:v>412.24400000000003</c:v>
                </c:pt>
                <c:pt idx="2">
                  <c:v>416.29300000000001</c:v>
                </c:pt>
                <c:pt idx="3">
                  <c:v>424.54700000000003</c:v>
                </c:pt>
                <c:pt idx="4">
                  <c:v>435.54700000000003</c:v>
                </c:pt>
              </c:numCache>
            </c:numRef>
          </c:val>
        </c:ser>
        <c:ser>
          <c:idx val="2"/>
          <c:order val="2"/>
          <c:tx>
            <c:strRef>
              <c:f>'Australian context'!$D$21</c:f>
              <c:strCache>
                <c:ptCount val="1"/>
                <c:pt idx="0">
                  <c:v>NT (15%)</c:v>
                </c:pt>
              </c:strCache>
            </c:strRef>
          </c:tx>
          <c:spPr>
            <a:ln>
              <a:prstDash val="dash"/>
            </a:ln>
          </c:spPr>
          <c:marker>
            <c:symbol val="none"/>
          </c:marker>
          <c:cat>
            <c:strRef>
              <c:f>'Australian context'!$A$24:$A$28</c:f>
              <c:strCache>
                <c:ptCount val="5"/>
                <c:pt idx="0">
                  <c:v>2006/07</c:v>
                </c:pt>
                <c:pt idx="1">
                  <c:v>2007/08</c:v>
                </c:pt>
                <c:pt idx="2">
                  <c:v>2008/09</c:v>
                </c:pt>
                <c:pt idx="3">
                  <c:v>2009/10</c:v>
                </c:pt>
                <c:pt idx="4">
                  <c:v>2010/11</c:v>
                </c:pt>
              </c:strCache>
            </c:strRef>
          </c:cat>
          <c:val>
            <c:numRef>
              <c:f>'Australian context'!$D$24:$D$28</c:f>
              <c:numCache>
                <c:formatCode>_-* #,##0_-;\-* #,##0_-;_-* "-"??_-;_-@_-</c:formatCode>
                <c:ptCount val="5"/>
                <c:pt idx="0">
                  <c:v>15.079000000000001</c:v>
                </c:pt>
                <c:pt idx="1">
                  <c:v>16.135000000000002</c:v>
                </c:pt>
                <c:pt idx="2">
                  <c:v>16.917000000000002</c:v>
                </c:pt>
                <c:pt idx="3">
                  <c:v>17.117999999999999</c:v>
                </c:pt>
                <c:pt idx="4">
                  <c:v>17.321999999999999</c:v>
                </c:pt>
              </c:numCache>
            </c:numRef>
          </c:val>
        </c:ser>
        <c:ser>
          <c:idx val="3"/>
          <c:order val="3"/>
          <c:tx>
            <c:strRef>
              <c:f>'Australian context'!$E$21</c:f>
              <c:strCache>
                <c:ptCount val="1"/>
                <c:pt idx="0">
                  <c:v>Qld (8%)</c:v>
                </c:pt>
              </c:strCache>
            </c:strRef>
          </c:tx>
          <c:marker>
            <c:symbol val="none"/>
          </c:marker>
          <c:cat>
            <c:strRef>
              <c:f>'Australian context'!$A$24:$A$28</c:f>
              <c:strCache>
                <c:ptCount val="5"/>
                <c:pt idx="0">
                  <c:v>2006/07</c:v>
                </c:pt>
                <c:pt idx="1">
                  <c:v>2007/08</c:v>
                </c:pt>
                <c:pt idx="2">
                  <c:v>2008/09</c:v>
                </c:pt>
                <c:pt idx="3">
                  <c:v>2009/10</c:v>
                </c:pt>
                <c:pt idx="4">
                  <c:v>2010/11</c:v>
                </c:pt>
              </c:strCache>
            </c:strRef>
          </c:cat>
          <c:val>
            <c:numRef>
              <c:f>'Australian context'!$E$24:$E$28</c:f>
              <c:numCache>
                <c:formatCode>_-* #,##0_-;\-* #,##0_-;_-* "-"??_-;_-@_-</c:formatCode>
                <c:ptCount val="5"/>
                <c:pt idx="0">
                  <c:v>248.82</c:v>
                </c:pt>
                <c:pt idx="1">
                  <c:v>260.79599999999999</c:v>
                </c:pt>
                <c:pt idx="2">
                  <c:v>263.46499999999997</c:v>
                </c:pt>
                <c:pt idx="3">
                  <c:v>267.221</c:v>
                </c:pt>
                <c:pt idx="4">
                  <c:v>269.88</c:v>
                </c:pt>
              </c:numCache>
            </c:numRef>
          </c:val>
        </c:ser>
        <c:ser>
          <c:idx val="4"/>
          <c:order val="4"/>
          <c:tx>
            <c:strRef>
              <c:f>'Australian context'!$F$21</c:f>
              <c:strCache>
                <c:ptCount val="1"/>
                <c:pt idx="0">
                  <c:v>SA (11%)</c:v>
                </c:pt>
              </c:strCache>
            </c:strRef>
          </c:tx>
          <c:marker>
            <c:symbol val="none"/>
          </c:marker>
          <c:cat>
            <c:strRef>
              <c:f>'Australian context'!$A$24:$A$28</c:f>
              <c:strCache>
                <c:ptCount val="5"/>
                <c:pt idx="0">
                  <c:v>2006/07</c:v>
                </c:pt>
                <c:pt idx="1">
                  <c:v>2007/08</c:v>
                </c:pt>
                <c:pt idx="2">
                  <c:v>2008/09</c:v>
                </c:pt>
                <c:pt idx="3">
                  <c:v>2009/10</c:v>
                </c:pt>
                <c:pt idx="4">
                  <c:v>2010/11</c:v>
                </c:pt>
              </c:strCache>
            </c:strRef>
          </c:cat>
          <c:val>
            <c:numRef>
              <c:f>'Australian context'!$F$24:$F$28</c:f>
              <c:numCache>
                <c:formatCode>_-* #,##0_-;\-* #,##0_-;_-* "-"??_-;_-@_-</c:formatCode>
                <c:ptCount val="5"/>
                <c:pt idx="0">
                  <c:v>80.198999999999998</c:v>
                </c:pt>
                <c:pt idx="1">
                  <c:v>84.855000000000004</c:v>
                </c:pt>
                <c:pt idx="2">
                  <c:v>86.45</c:v>
                </c:pt>
                <c:pt idx="3">
                  <c:v>87.346000000000004</c:v>
                </c:pt>
                <c:pt idx="4">
                  <c:v>89.322000000000003</c:v>
                </c:pt>
              </c:numCache>
            </c:numRef>
          </c:val>
        </c:ser>
        <c:ser>
          <c:idx val="5"/>
          <c:order val="5"/>
          <c:tx>
            <c:strRef>
              <c:f>'Australian context'!$G$21</c:f>
              <c:strCache>
                <c:ptCount val="1"/>
                <c:pt idx="0">
                  <c:v>Tas (6%)</c:v>
                </c:pt>
              </c:strCache>
            </c:strRef>
          </c:tx>
          <c:spPr>
            <a:ln>
              <a:prstDash val="sysDot"/>
            </a:ln>
          </c:spPr>
          <c:marker>
            <c:symbol val="none"/>
          </c:marker>
          <c:cat>
            <c:strRef>
              <c:f>'Australian context'!$A$24:$A$28</c:f>
              <c:strCache>
                <c:ptCount val="5"/>
                <c:pt idx="0">
                  <c:v>2006/07</c:v>
                </c:pt>
                <c:pt idx="1">
                  <c:v>2007/08</c:v>
                </c:pt>
                <c:pt idx="2">
                  <c:v>2008/09</c:v>
                </c:pt>
                <c:pt idx="3">
                  <c:v>2009/10</c:v>
                </c:pt>
                <c:pt idx="4">
                  <c:v>2010/11</c:v>
                </c:pt>
              </c:strCache>
            </c:strRef>
          </c:cat>
          <c:val>
            <c:numRef>
              <c:f>'Australian context'!$G$24:$G$28</c:f>
              <c:numCache>
                <c:formatCode>_-* #,##0_-;\-* #,##0_-;_-* "-"??_-;_-@_-</c:formatCode>
                <c:ptCount val="5"/>
                <c:pt idx="0">
                  <c:v>22.937000000000001</c:v>
                </c:pt>
                <c:pt idx="1">
                  <c:v>23.591999999999999</c:v>
                </c:pt>
                <c:pt idx="2">
                  <c:v>24.154</c:v>
                </c:pt>
                <c:pt idx="3">
                  <c:v>24.167999999999999</c:v>
                </c:pt>
                <c:pt idx="4">
                  <c:v>24.218</c:v>
                </c:pt>
              </c:numCache>
            </c:numRef>
          </c:val>
        </c:ser>
        <c:ser>
          <c:idx val="6"/>
          <c:order val="6"/>
          <c:tx>
            <c:strRef>
              <c:f>'Australian context'!$H$21</c:f>
              <c:strCache>
                <c:ptCount val="1"/>
                <c:pt idx="0">
                  <c:v>Vic (9%)</c:v>
                </c:pt>
              </c:strCache>
            </c:strRef>
          </c:tx>
          <c:spPr>
            <a:ln>
              <a:prstDash val="dash"/>
            </a:ln>
          </c:spPr>
          <c:marker>
            <c:symbol val="none"/>
          </c:marker>
          <c:cat>
            <c:strRef>
              <c:f>'Australian context'!$A$24:$A$28</c:f>
              <c:strCache>
                <c:ptCount val="5"/>
                <c:pt idx="0">
                  <c:v>2006/07</c:v>
                </c:pt>
                <c:pt idx="1">
                  <c:v>2007/08</c:v>
                </c:pt>
                <c:pt idx="2">
                  <c:v>2008/09</c:v>
                </c:pt>
                <c:pt idx="3">
                  <c:v>2009/10</c:v>
                </c:pt>
                <c:pt idx="4">
                  <c:v>2010/11</c:v>
                </c:pt>
              </c:strCache>
            </c:strRef>
          </c:cat>
          <c:val>
            <c:numRef>
              <c:f>'Australian context'!$H$24:$H$28</c:f>
              <c:numCache>
                <c:formatCode>_-* #,##0_-;\-* #,##0_-;_-* "-"??_-;_-@_-</c:formatCode>
                <c:ptCount val="5"/>
                <c:pt idx="0">
                  <c:v>288.274</c:v>
                </c:pt>
                <c:pt idx="1">
                  <c:v>298.32</c:v>
                </c:pt>
                <c:pt idx="2">
                  <c:v>301.548</c:v>
                </c:pt>
                <c:pt idx="3">
                  <c:v>307.19299999999998</c:v>
                </c:pt>
                <c:pt idx="4">
                  <c:v>315.57100000000003</c:v>
                </c:pt>
              </c:numCache>
            </c:numRef>
          </c:val>
        </c:ser>
        <c:ser>
          <c:idx val="7"/>
          <c:order val="7"/>
          <c:tx>
            <c:strRef>
              <c:f>'Australian context'!$I$21</c:f>
              <c:strCache>
                <c:ptCount val="1"/>
                <c:pt idx="0">
                  <c:v>WA (17%)</c:v>
                </c:pt>
              </c:strCache>
            </c:strRef>
          </c:tx>
          <c:spPr>
            <a:ln>
              <a:prstDash val="sysDash"/>
            </a:ln>
          </c:spPr>
          <c:marker>
            <c:symbol val="none"/>
          </c:marker>
          <c:cat>
            <c:strRef>
              <c:f>'Australian context'!$A$24:$A$28</c:f>
              <c:strCache>
                <c:ptCount val="5"/>
                <c:pt idx="0">
                  <c:v>2006/07</c:v>
                </c:pt>
                <c:pt idx="1">
                  <c:v>2007/08</c:v>
                </c:pt>
                <c:pt idx="2">
                  <c:v>2008/09</c:v>
                </c:pt>
                <c:pt idx="3">
                  <c:v>2009/10</c:v>
                </c:pt>
                <c:pt idx="4">
                  <c:v>2010/11</c:v>
                </c:pt>
              </c:strCache>
            </c:strRef>
          </c:cat>
          <c:val>
            <c:numRef>
              <c:f>'Australian context'!$I$24:$I$28</c:f>
              <c:numCache>
                <c:formatCode>_-* #,##0_-;\-* #,##0_-;_-* "-"??_-;_-@_-</c:formatCode>
                <c:ptCount val="5"/>
                <c:pt idx="0">
                  <c:v>188.70500000000001</c:v>
                </c:pt>
                <c:pt idx="1">
                  <c:v>195.97300000000001</c:v>
                </c:pt>
                <c:pt idx="2">
                  <c:v>204.35400000000001</c:v>
                </c:pt>
                <c:pt idx="3">
                  <c:v>213.15100000000001</c:v>
                </c:pt>
                <c:pt idx="4">
                  <c:v>221.57400000000001</c:v>
                </c:pt>
              </c:numCache>
            </c:numRef>
          </c:val>
        </c:ser>
        <c:dLbls/>
        <c:marker val="1"/>
        <c:axId val="150109184"/>
        <c:axId val="150131456"/>
      </c:lineChart>
      <c:catAx>
        <c:axId val="150109184"/>
        <c:scaling>
          <c:orientation val="minMax"/>
        </c:scaling>
        <c:axPos val="b"/>
        <c:numFmt formatCode="m/d/yyyy" sourceLinked="1"/>
        <c:tickLblPos val="nextTo"/>
        <c:crossAx val="150131456"/>
        <c:crosses val="autoZero"/>
        <c:auto val="1"/>
        <c:lblAlgn val="ctr"/>
        <c:lblOffset val="100"/>
      </c:catAx>
      <c:valAx>
        <c:axId val="150131456"/>
        <c:scaling>
          <c:orientation val="minMax"/>
          <c:max val="450"/>
        </c:scaling>
        <c:axPos val="l"/>
        <c:majorGridlines/>
        <c:title>
          <c:tx>
            <c:rich>
              <a:bodyPr rot="-5400000" vert="horz"/>
              <a:lstStyle/>
              <a:p>
                <a:pPr>
                  <a:defRPr/>
                </a:pPr>
                <a:r>
                  <a:rPr lang="en-AU"/>
                  <a:t>GSP (Billions of dollars)</a:t>
                </a:r>
              </a:p>
            </c:rich>
          </c:tx>
        </c:title>
        <c:numFmt formatCode="_-* #,##0_-;\-* #,##0_-;_-* &quot;-&quot;??_-;_-@_-" sourceLinked="1"/>
        <c:tickLblPos val="nextTo"/>
        <c:spPr>
          <a:ln>
            <a:noFill/>
          </a:ln>
        </c:spPr>
        <c:crossAx val="150109184"/>
        <c:crosses val="autoZero"/>
        <c:crossBetween val="between"/>
      </c:valAx>
    </c:plotArea>
    <c:legend>
      <c:legendPos val="r"/>
    </c:legend>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AU"/>
  <c:chart>
    <c:plotArea>
      <c:layout/>
      <c:lineChart>
        <c:grouping val="standard"/>
        <c:ser>
          <c:idx val="0"/>
          <c:order val="0"/>
          <c:tx>
            <c:strRef>
              <c:f>'Australian context'!$B$44</c:f>
              <c:strCache>
                <c:ptCount val="1"/>
                <c:pt idx="0">
                  <c:v>ACT (8%)</c:v>
                </c:pt>
              </c:strCache>
            </c:strRef>
          </c:tx>
          <c:marker>
            <c:symbol val="none"/>
          </c:marker>
          <c:cat>
            <c:strRef>
              <c:f>'Australian context'!$A$45:$A$49</c:f>
              <c:strCache>
                <c:ptCount val="5"/>
                <c:pt idx="0">
                  <c:v>2006/07</c:v>
                </c:pt>
                <c:pt idx="1">
                  <c:v>2007/08</c:v>
                </c:pt>
                <c:pt idx="2">
                  <c:v>2008/09</c:v>
                </c:pt>
                <c:pt idx="3">
                  <c:v>2009/10</c:v>
                </c:pt>
                <c:pt idx="4">
                  <c:v>2010/11</c:v>
                </c:pt>
              </c:strCache>
            </c:strRef>
          </c:cat>
          <c:val>
            <c:numRef>
              <c:f>'Australian context'!$B$45:$B$49</c:f>
              <c:numCache>
                <c:formatCode>_-* #,##0_-;\-* #,##0_-;_-* "-"??_-;_-@_-</c:formatCode>
                <c:ptCount val="5"/>
                <c:pt idx="0">
                  <c:v>338485.25</c:v>
                </c:pt>
                <c:pt idx="2">
                  <c:v>351198.25</c:v>
                </c:pt>
                <c:pt idx="3">
                  <c:v>358090.5</c:v>
                </c:pt>
                <c:pt idx="4">
                  <c:v>365013.75</c:v>
                </c:pt>
              </c:numCache>
            </c:numRef>
          </c:val>
        </c:ser>
        <c:ser>
          <c:idx val="1"/>
          <c:order val="1"/>
          <c:tx>
            <c:strRef>
              <c:f>'Australian context'!$C$44</c:f>
              <c:strCache>
                <c:ptCount val="1"/>
                <c:pt idx="0">
                  <c:v>NSW (5%)</c:v>
                </c:pt>
              </c:strCache>
            </c:strRef>
          </c:tx>
          <c:marker>
            <c:symbol val="none"/>
          </c:marker>
          <c:cat>
            <c:strRef>
              <c:f>'Australian context'!$A$45:$A$49</c:f>
              <c:strCache>
                <c:ptCount val="5"/>
                <c:pt idx="0">
                  <c:v>2006/07</c:v>
                </c:pt>
                <c:pt idx="1">
                  <c:v>2007/08</c:v>
                </c:pt>
                <c:pt idx="2">
                  <c:v>2008/09</c:v>
                </c:pt>
                <c:pt idx="3">
                  <c:v>2009/10</c:v>
                </c:pt>
                <c:pt idx="4">
                  <c:v>2010/11</c:v>
                </c:pt>
              </c:strCache>
            </c:strRef>
          </c:cat>
          <c:val>
            <c:numRef>
              <c:f>'Australian context'!$C$45:$C$49</c:f>
              <c:numCache>
                <c:formatCode>_-* #,##0_-;\-* #,##0_-;_-* "-"??_-;_-@_-</c:formatCode>
                <c:ptCount val="5"/>
                <c:pt idx="0">
                  <c:v>6860141.5</c:v>
                </c:pt>
                <c:pt idx="2">
                  <c:v>7037192.25</c:v>
                </c:pt>
                <c:pt idx="3">
                  <c:v>7120073</c:v>
                </c:pt>
                <c:pt idx="4">
                  <c:v>7187313.75</c:v>
                </c:pt>
              </c:numCache>
            </c:numRef>
          </c:val>
        </c:ser>
        <c:ser>
          <c:idx val="2"/>
          <c:order val="2"/>
          <c:tx>
            <c:strRef>
              <c:f>'Australian context'!$D$44</c:f>
              <c:strCache>
                <c:ptCount val="1"/>
                <c:pt idx="0">
                  <c:v>NT (8%)</c:v>
                </c:pt>
              </c:strCache>
            </c:strRef>
          </c:tx>
          <c:spPr>
            <a:ln>
              <a:prstDash val="dash"/>
            </a:ln>
          </c:spPr>
          <c:marker>
            <c:symbol val="none"/>
          </c:marker>
          <c:cat>
            <c:strRef>
              <c:f>'Australian context'!$A$45:$A$49</c:f>
              <c:strCache>
                <c:ptCount val="5"/>
                <c:pt idx="0">
                  <c:v>2006/07</c:v>
                </c:pt>
                <c:pt idx="1">
                  <c:v>2007/08</c:v>
                </c:pt>
                <c:pt idx="2">
                  <c:v>2008/09</c:v>
                </c:pt>
                <c:pt idx="3">
                  <c:v>2009/10</c:v>
                </c:pt>
                <c:pt idx="4">
                  <c:v>2010/11</c:v>
                </c:pt>
              </c:strCache>
            </c:strRef>
          </c:cat>
          <c:val>
            <c:numRef>
              <c:f>'Australian context'!$D$45:$D$49</c:f>
              <c:numCache>
                <c:formatCode>_-* #,##0_-;\-* #,##0_-;_-* "-"??_-;_-@_-</c:formatCode>
                <c:ptCount val="5"/>
                <c:pt idx="0">
                  <c:v>213246.25</c:v>
                </c:pt>
                <c:pt idx="2">
                  <c:v>224377</c:v>
                </c:pt>
                <c:pt idx="3">
                  <c:v>228999.75</c:v>
                </c:pt>
                <c:pt idx="4">
                  <c:v>230743</c:v>
                </c:pt>
              </c:numCache>
            </c:numRef>
          </c:val>
        </c:ser>
        <c:ser>
          <c:idx val="3"/>
          <c:order val="3"/>
          <c:tx>
            <c:strRef>
              <c:f>'Australian context'!$E$44</c:f>
              <c:strCache>
                <c:ptCount val="1"/>
                <c:pt idx="0">
                  <c:v>Qld (7%)</c:v>
                </c:pt>
              </c:strCache>
            </c:strRef>
          </c:tx>
          <c:marker>
            <c:symbol val="none"/>
          </c:marker>
          <c:cat>
            <c:strRef>
              <c:f>'Australian context'!$A$45:$A$49</c:f>
              <c:strCache>
                <c:ptCount val="5"/>
                <c:pt idx="0">
                  <c:v>2006/07</c:v>
                </c:pt>
                <c:pt idx="1">
                  <c:v>2007/08</c:v>
                </c:pt>
                <c:pt idx="2">
                  <c:v>2008/09</c:v>
                </c:pt>
                <c:pt idx="3">
                  <c:v>2009/10</c:v>
                </c:pt>
                <c:pt idx="4">
                  <c:v>2010/11</c:v>
                </c:pt>
              </c:strCache>
            </c:strRef>
          </c:cat>
          <c:val>
            <c:numRef>
              <c:f>'Australian context'!$E$45:$E$49</c:f>
              <c:numCache>
                <c:formatCode>_-* #,##0_-;\-* #,##0_-;_-* "-"??_-;_-@_-</c:formatCode>
                <c:ptCount val="5"/>
                <c:pt idx="0">
                  <c:v>4143078.25</c:v>
                </c:pt>
                <c:pt idx="2">
                  <c:v>4331377.5</c:v>
                </c:pt>
                <c:pt idx="3">
                  <c:v>4403861.25</c:v>
                </c:pt>
                <c:pt idx="4">
                  <c:v>4454570.5</c:v>
                </c:pt>
              </c:numCache>
            </c:numRef>
          </c:val>
        </c:ser>
        <c:ser>
          <c:idx val="4"/>
          <c:order val="4"/>
          <c:tx>
            <c:strRef>
              <c:f>'Australian context'!$F$44</c:f>
              <c:strCache>
                <c:ptCount val="1"/>
                <c:pt idx="0">
                  <c:v>SA (4%)</c:v>
                </c:pt>
              </c:strCache>
            </c:strRef>
          </c:tx>
          <c:marker>
            <c:symbol val="none"/>
          </c:marker>
          <c:cat>
            <c:strRef>
              <c:f>'Australian context'!$A$45:$A$49</c:f>
              <c:strCache>
                <c:ptCount val="5"/>
                <c:pt idx="0">
                  <c:v>2006/07</c:v>
                </c:pt>
                <c:pt idx="1">
                  <c:v>2007/08</c:v>
                </c:pt>
                <c:pt idx="2">
                  <c:v>2008/09</c:v>
                </c:pt>
                <c:pt idx="3">
                  <c:v>2009/10</c:v>
                </c:pt>
                <c:pt idx="4">
                  <c:v>2010/11</c:v>
                </c:pt>
              </c:strCache>
            </c:strRef>
          </c:cat>
          <c:val>
            <c:numRef>
              <c:f>'Australian context'!$F$45:$F$49</c:f>
              <c:numCache>
                <c:formatCode>_-* #,##0_-;\-* #,##0_-;_-* "-"??_-;_-@_-</c:formatCode>
                <c:ptCount val="5"/>
                <c:pt idx="0">
                  <c:v>1577301.5</c:v>
                </c:pt>
                <c:pt idx="2">
                  <c:v>1607840.25</c:v>
                </c:pt>
                <c:pt idx="3">
                  <c:v>1624525</c:v>
                </c:pt>
                <c:pt idx="4">
                  <c:v>1634892.5</c:v>
                </c:pt>
              </c:numCache>
            </c:numRef>
          </c:val>
        </c:ser>
        <c:ser>
          <c:idx val="5"/>
          <c:order val="5"/>
          <c:tx>
            <c:strRef>
              <c:f>'Australian context'!$G$44</c:f>
              <c:strCache>
                <c:ptCount val="1"/>
                <c:pt idx="0">
                  <c:v>Tas (4%)</c:v>
                </c:pt>
              </c:strCache>
            </c:strRef>
          </c:tx>
          <c:spPr>
            <a:ln>
              <a:prstDash val="sysDot"/>
            </a:ln>
          </c:spPr>
          <c:marker>
            <c:symbol val="none"/>
          </c:marker>
          <c:cat>
            <c:strRef>
              <c:f>'Australian context'!$A$45:$A$49</c:f>
              <c:strCache>
                <c:ptCount val="5"/>
                <c:pt idx="0">
                  <c:v>2006/07</c:v>
                </c:pt>
                <c:pt idx="1">
                  <c:v>2007/08</c:v>
                </c:pt>
                <c:pt idx="2">
                  <c:v>2008/09</c:v>
                </c:pt>
                <c:pt idx="3">
                  <c:v>2009/10</c:v>
                </c:pt>
                <c:pt idx="4">
                  <c:v>2010/11</c:v>
                </c:pt>
              </c:strCache>
            </c:strRef>
          </c:cat>
          <c:val>
            <c:numRef>
              <c:f>'Australian context'!$G$45:$G$49</c:f>
              <c:numCache>
                <c:formatCode>_-* #,##0_-;\-* #,##0_-;_-* "-"??_-;_-@_-</c:formatCode>
                <c:ptCount val="5"/>
                <c:pt idx="0">
                  <c:v>492369.75</c:v>
                </c:pt>
                <c:pt idx="2">
                  <c:v>502244.75</c:v>
                </c:pt>
                <c:pt idx="3">
                  <c:v>506836.5</c:v>
                </c:pt>
                <c:pt idx="4">
                  <c:v>510208.75</c:v>
                </c:pt>
              </c:numCache>
            </c:numRef>
          </c:val>
        </c:ser>
        <c:ser>
          <c:idx val="6"/>
          <c:order val="6"/>
          <c:tx>
            <c:strRef>
              <c:f>'Australian context'!$H$44</c:f>
              <c:strCache>
                <c:ptCount val="1"/>
                <c:pt idx="0">
                  <c:v>Vic (6%)</c:v>
                </c:pt>
              </c:strCache>
            </c:strRef>
          </c:tx>
          <c:spPr>
            <a:ln>
              <a:prstDash val="dash"/>
            </a:ln>
          </c:spPr>
          <c:marker>
            <c:symbol val="none"/>
          </c:marker>
          <c:cat>
            <c:strRef>
              <c:f>'Australian context'!$A$45:$A$49</c:f>
              <c:strCache>
                <c:ptCount val="5"/>
                <c:pt idx="0">
                  <c:v>2006/07</c:v>
                </c:pt>
                <c:pt idx="1">
                  <c:v>2007/08</c:v>
                </c:pt>
                <c:pt idx="2">
                  <c:v>2008/09</c:v>
                </c:pt>
                <c:pt idx="3">
                  <c:v>2009/10</c:v>
                </c:pt>
                <c:pt idx="4">
                  <c:v>2010/11</c:v>
                </c:pt>
              </c:strCache>
            </c:strRef>
          </c:cat>
          <c:val>
            <c:numRef>
              <c:f>'Australian context'!$H$45:$H$49</c:f>
              <c:numCache>
                <c:formatCode>_-* #,##0_-;\-* #,##0_-;_-* "-"??_-;_-@_-</c:formatCode>
                <c:ptCount val="5"/>
                <c:pt idx="0">
                  <c:v>5175222</c:v>
                </c:pt>
                <c:pt idx="2">
                  <c:v>5358128.75</c:v>
                </c:pt>
                <c:pt idx="3">
                  <c:v>5445271.75</c:v>
                </c:pt>
                <c:pt idx="4">
                  <c:v>5509798.25</c:v>
                </c:pt>
              </c:numCache>
            </c:numRef>
          </c:val>
        </c:ser>
        <c:ser>
          <c:idx val="7"/>
          <c:order val="7"/>
          <c:tx>
            <c:strRef>
              <c:f>'Australian context'!$I$44</c:f>
              <c:strCache>
                <c:ptCount val="1"/>
                <c:pt idx="0">
                  <c:v>WA (11%)</c:v>
                </c:pt>
              </c:strCache>
            </c:strRef>
          </c:tx>
          <c:spPr>
            <a:ln>
              <a:prstDash val="sysDash"/>
            </a:ln>
          </c:spPr>
          <c:marker>
            <c:symbol val="none"/>
          </c:marker>
          <c:cat>
            <c:strRef>
              <c:f>'Australian context'!$A$45:$A$49</c:f>
              <c:strCache>
                <c:ptCount val="5"/>
                <c:pt idx="0">
                  <c:v>2006/07</c:v>
                </c:pt>
                <c:pt idx="1">
                  <c:v>2007/08</c:v>
                </c:pt>
                <c:pt idx="2">
                  <c:v>2008/09</c:v>
                </c:pt>
                <c:pt idx="3">
                  <c:v>2009/10</c:v>
                </c:pt>
                <c:pt idx="4">
                  <c:v>2010/11</c:v>
                </c:pt>
              </c:strCache>
            </c:strRef>
          </c:cat>
          <c:val>
            <c:numRef>
              <c:f>'Australian context'!$I$45:$I$49</c:f>
              <c:numCache>
                <c:formatCode>_-* #,##0_-;\-* #,##0_-;_-* "-"??_-;_-@_-</c:formatCode>
                <c:ptCount val="5"/>
                <c:pt idx="0">
                  <c:v>2093310.75</c:v>
                </c:pt>
                <c:pt idx="2">
                  <c:v>2223868.25</c:v>
                </c:pt>
                <c:pt idx="3">
                  <c:v>2277396</c:v>
                </c:pt>
                <c:pt idx="4">
                  <c:v>2329535.25</c:v>
                </c:pt>
              </c:numCache>
            </c:numRef>
          </c:val>
        </c:ser>
        <c:dLbls/>
        <c:marker val="1"/>
        <c:axId val="153224320"/>
        <c:axId val="153225856"/>
      </c:lineChart>
      <c:catAx>
        <c:axId val="153224320"/>
        <c:scaling>
          <c:orientation val="minMax"/>
        </c:scaling>
        <c:axPos val="b"/>
        <c:tickLblPos val="nextTo"/>
        <c:spPr>
          <a:ln>
            <a:noFill/>
          </a:ln>
        </c:spPr>
        <c:crossAx val="153225856"/>
        <c:crosses val="autoZero"/>
        <c:auto val="1"/>
        <c:lblAlgn val="ctr"/>
        <c:lblOffset val="100"/>
      </c:catAx>
      <c:valAx>
        <c:axId val="153225856"/>
        <c:scaling>
          <c:orientation val="minMax"/>
        </c:scaling>
        <c:axPos val="l"/>
        <c:majorGridlines/>
        <c:title>
          <c:tx>
            <c:rich>
              <a:bodyPr rot="-5400000" vert="horz"/>
              <a:lstStyle/>
              <a:p>
                <a:pPr>
                  <a:defRPr/>
                </a:pPr>
                <a:r>
                  <a:rPr lang="en-AU"/>
                  <a:t>Population (millions) </a:t>
                </a:r>
              </a:p>
            </c:rich>
          </c:tx>
        </c:title>
        <c:numFmt formatCode="0" sourceLinked="0"/>
        <c:tickLblPos val="nextTo"/>
        <c:spPr>
          <a:ln>
            <a:noFill/>
          </a:ln>
        </c:spPr>
        <c:crossAx val="153224320"/>
        <c:crosses val="autoZero"/>
        <c:crossBetween val="between"/>
        <c:dispUnits>
          <c:builtInUnit val="millions"/>
        </c:dispUnits>
      </c:valAx>
    </c:plotArea>
    <c:legend>
      <c:legendPos val="r"/>
    </c:legend>
    <c:plotVisOnly val="1"/>
    <c:dispBlanksAs val="span"/>
  </c:chart>
  <c:spPr>
    <a:ln>
      <a:noFill/>
    </a:ln>
  </c:spPr>
  <c:printSettings>
    <c:headerFooter/>
    <c:pageMargins b="0.75000000000000411" l="0.70000000000000062" r="0.70000000000000062" t="0.75000000000000411"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AU"/>
  <c:chart>
    <c:plotArea>
      <c:layout/>
      <c:barChart>
        <c:barDir val="col"/>
        <c:grouping val="clustered"/>
        <c:ser>
          <c:idx val="0"/>
          <c:order val="0"/>
          <c:cat>
            <c:strRef>
              <c:f>'Australian context'!$A$55:$A$62</c:f>
              <c:strCache>
                <c:ptCount val="8"/>
                <c:pt idx="0">
                  <c:v>ACT</c:v>
                </c:pt>
                <c:pt idx="1">
                  <c:v>NSW</c:v>
                </c:pt>
                <c:pt idx="2">
                  <c:v>NT</c:v>
                </c:pt>
                <c:pt idx="3">
                  <c:v>Qld</c:v>
                </c:pt>
                <c:pt idx="4">
                  <c:v>SA</c:v>
                </c:pt>
                <c:pt idx="5">
                  <c:v>Tas</c:v>
                </c:pt>
                <c:pt idx="6">
                  <c:v>Vic</c:v>
                </c:pt>
                <c:pt idx="7">
                  <c:v>WA</c:v>
                </c:pt>
              </c:strCache>
            </c:strRef>
          </c:cat>
          <c:val>
            <c:numRef>
              <c:f>'Australian context'!$B$55:$B$62</c:f>
              <c:numCache>
                <c:formatCode>0%</c:formatCode>
                <c:ptCount val="8"/>
                <c:pt idx="0">
                  <c:v>0.99794561517238356</c:v>
                </c:pt>
                <c:pt idx="1">
                  <c:v>0.72342418508773165</c:v>
                </c:pt>
                <c:pt idx="2">
                  <c:v>0.54454208972128959</c:v>
                </c:pt>
                <c:pt idx="3">
                  <c:v>0.58971034564857128</c:v>
                </c:pt>
                <c:pt idx="4">
                  <c:v>0.72752042695511365</c:v>
                </c:pt>
                <c:pt idx="5">
                  <c:v>0.64606661791667996</c:v>
                </c:pt>
                <c:pt idx="6">
                  <c:v>0.74124268480658417</c:v>
                </c:pt>
                <c:pt idx="7">
                  <c:v>0.71286830822671854</c:v>
                </c:pt>
              </c:numCache>
            </c:numRef>
          </c:val>
        </c:ser>
        <c:dLbls/>
        <c:axId val="153263104"/>
        <c:axId val="153285376"/>
      </c:barChart>
      <c:catAx>
        <c:axId val="153263104"/>
        <c:scaling>
          <c:orientation val="minMax"/>
        </c:scaling>
        <c:axPos val="b"/>
        <c:tickLblPos val="nextTo"/>
        <c:crossAx val="153285376"/>
        <c:crosses val="autoZero"/>
        <c:auto val="1"/>
        <c:lblAlgn val="ctr"/>
        <c:lblOffset val="100"/>
      </c:catAx>
      <c:valAx>
        <c:axId val="153285376"/>
        <c:scaling>
          <c:orientation val="minMax"/>
          <c:max val="1"/>
        </c:scaling>
        <c:axPos val="l"/>
        <c:majorGridlines/>
        <c:title>
          <c:tx>
            <c:rich>
              <a:bodyPr rot="-5400000" vert="horz"/>
              <a:lstStyle/>
              <a:p>
                <a:pPr>
                  <a:defRPr/>
                </a:pPr>
                <a:r>
                  <a:rPr lang="en-AU" baseline="0"/>
                  <a:t>% population in metro and inner regional areas</a:t>
                </a:r>
                <a:endParaRPr lang="en-AU"/>
              </a:p>
            </c:rich>
          </c:tx>
        </c:title>
        <c:numFmt formatCode="0%" sourceLinked="1"/>
        <c:tickLblPos val="nextTo"/>
        <c:spPr>
          <a:ln>
            <a:noFill/>
          </a:ln>
        </c:spPr>
        <c:crossAx val="153263104"/>
        <c:crosses val="autoZero"/>
        <c:crossBetween val="between"/>
      </c:valAx>
    </c:plotArea>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AU"/>
  <c:chart>
    <c:plotArea>
      <c:layout/>
      <c:barChart>
        <c:barDir val="col"/>
        <c:grouping val="clustered"/>
        <c:ser>
          <c:idx val="0"/>
          <c:order val="0"/>
          <c:cat>
            <c:strRef>
              <c:f>'Australian context'!$A$81:$A$88</c:f>
              <c:strCache>
                <c:ptCount val="8"/>
                <c:pt idx="0">
                  <c:v>ACT</c:v>
                </c:pt>
                <c:pt idx="1">
                  <c:v>NSW</c:v>
                </c:pt>
                <c:pt idx="2">
                  <c:v>NT</c:v>
                </c:pt>
                <c:pt idx="3">
                  <c:v>Qld</c:v>
                </c:pt>
                <c:pt idx="4">
                  <c:v>SA</c:v>
                </c:pt>
                <c:pt idx="5">
                  <c:v>Tas</c:v>
                </c:pt>
                <c:pt idx="6">
                  <c:v>Vic</c:v>
                </c:pt>
                <c:pt idx="7">
                  <c:v>WA</c:v>
                </c:pt>
              </c:strCache>
            </c:strRef>
          </c:cat>
          <c:val>
            <c:numRef>
              <c:f>'Australian context'!$D$81:$D$88</c:f>
              <c:numCache>
                <c:formatCode>0%</c:formatCode>
                <c:ptCount val="8"/>
                <c:pt idx="0">
                  <c:v>0</c:v>
                </c:pt>
                <c:pt idx="1">
                  <c:v>8.8275310644322189E-2</c:v>
                </c:pt>
                <c:pt idx="2">
                  <c:v>0</c:v>
                </c:pt>
                <c:pt idx="3">
                  <c:v>8.7453128174363917E-2</c:v>
                </c:pt>
                <c:pt idx="4">
                  <c:v>0.39649498865527161</c:v>
                </c:pt>
                <c:pt idx="5">
                  <c:v>0</c:v>
                </c:pt>
                <c:pt idx="6">
                  <c:v>6.5810495721198188E-3</c:v>
                </c:pt>
                <c:pt idx="7">
                  <c:v>6.9635944388820412E-2</c:v>
                </c:pt>
              </c:numCache>
            </c:numRef>
          </c:val>
        </c:ser>
        <c:dLbls/>
        <c:axId val="153305472"/>
        <c:axId val="153307008"/>
      </c:barChart>
      <c:catAx>
        <c:axId val="153305472"/>
        <c:scaling>
          <c:orientation val="minMax"/>
        </c:scaling>
        <c:axPos val="b"/>
        <c:tickLblPos val="nextTo"/>
        <c:crossAx val="153307008"/>
        <c:crosses val="autoZero"/>
        <c:auto val="1"/>
        <c:lblAlgn val="ctr"/>
        <c:lblOffset val="100"/>
      </c:catAx>
      <c:valAx>
        <c:axId val="153307008"/>
        <c:scaling>
          <c:orientation val="minMax"/>
        </c:scaling>
        <c:axPos val="l"/>
        <c:majorGridlines/>
        <c:title>
          <c:tx>
            <c:rich>
              <a:bodyPr rot="-5400000" vert="horz"/>
              <a:lstStyle/>
              <a:p>
                <a:pPr>
                  <a:defRPr/>
                </a:pPr>
                <a:r>
                  <a:rPr lang="en-US"/>
                  <a:t>% of waste to AWT compared to</a:t>
                </a:r>
                <a:r>
                  <a:rPr lang="en-US" baseline="0"/>
                  <a:t> landfill</a:t>
                </a:r>
                <a:endParaRPr lang="en-US"/>
              </a:p>
            </c:rich>
          </c:tx>
        </c:title>
        <c:numFmt formatCode="0%" sourceLinked="1"/>
        <c:tickLblPos val="nextTo"/>
        <c:spPr>
          <a:ln>
            <a:noFill/>
          </a:ln>
        </c:spPr>
        <c:crossAx val="153305472"/>
        <c:crosses val="autoZero"/>
        <c:crossBetween val="between"/>
      </c:valAx>
      <c:spPr>
        <a:ln>
          <a:noFill/>
        </a:ln>
      </c:spPr>
    </c:plotArea>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AU"/>
  <c:chart>
    <c:plotArea>
      <c:layout/>
      <c:barChart>
        <c:barDir val="col"/>
        <c:grouping val="clustered"/>
        <c:ser>
          <c:idx val="0"/>
          <c:order val="0"/>
          <c:dLbls>
            <c:dLbl>
              <c:idx val="1"/>
              <c:layout>
                <c:manualLayout>
                  <c:x val="-2.7605244996549648E-3"/>
                  <c:y val="-3.8400006450394791E-2"/>
                </c:manualLayout>
              </c:layout>
              <c:showVal val="1"/>
            </c:dLbl>
            <c:dLbl>
              <c:idx val="2"/>
              <c:layout>
                <c:manualLayout>
                  <c:x val="8.2815734989648056E-3"/>
                  <c:y val="-2.5600004300263192E-2"/>
                </c:manualLayout>
              </c:layout>
              <c:showVal val="1"/>
            </c:dLbl>
            <c:dLbl>
              <c:idx val="6"/>
              <c:layout>
                <c:manualLayout>
                  <c:x val="-5.5210489993099904E-3"/>
                  <c:y val="-3.8400006450394791E-2"/>
                </c:manualLayout>
              </c:layout>
              <c:showVal val="1"/>
            </c:dLbl>
            <c:showVal val="1"/>
          </c:dLbls>
          <c:cat>
            <c:strRef>
              <c:f>'Australian context'!$A$4:$A$11</c:f>
              <c:strCache>
                <c:ptCount val="8"/>
                <c:pt idx="0">
                  <c:v>ACT</c:v>
                </c:pt>
                <c:pt idx="1">
                  <c:v>NSW</c:v>
                </c:pt>
                <c:pt idx="2">
                  <c:v>NT</c:v>
                </c:pt>
                <c:pt idx="3">
                  <c:v>Qld</c:v>
                </c:pt>
                <c:pt idx="4">
                  <c:v>SA</c:v>
                </c:pt>
                <c:pt idx="5">
                  <c:v>Tas</c:v>
                </c:pt>
                <c:pt idx="6">
                  <c:v>Vic</c:v>
                </c:pt>
                <c:pt idx="7">
                  <c:v>WA</c:v>
                </c:pt>
              </c:strCache>
            </c:strRef>
          </c:cat>
          <c:val>
            <c:numRef>
              <c:f>'Australian context'!$D$4:$D$11</c:f>
              <c:numCache>
                <c:formatCode>"$"#,##0;[Red]\-"$"#,##0</c:formatCode>
                <c:ptCount val="8"/>
                <c:pt idx="0">
                  <c:v>738.46153846153845</c:v>
                </c:pt>
                <c:pt idx="1">
                  <c:v>475.76923076923077</c:v>
                </c:pt>
                <c:pt idx="2">
                  <c:v>577.24137931034488</c:v>
                </c:pt>
                <c:pt idx="3">
                  <c:v>475</c:v>
                </c:pt>
                <c:pt idx="4">
                  <c:v>435</c:v>
                </c:pt>
                <c:pt idx="5">
                  <c:v>395</c:v>
                </c:pt>
                <c:pt idx="6">
                  <c:v>467.69230769230768</c:v>
                </c:pt>
                <c:pt idx="7">
                  <c:v>544.23076923076917</c:v>
                </c:pt>
              </c:numCache>
            </c:numRef>
          </c:val>
        </c:ser>
        <c:dLbls/>
        <c:axId val="153343488"/>
        <c:axId val="153345024"/>
      </c:barChart>
      <c:catAx>
        <c:axId val="153343488"/>
        <c:scaling>
          <c:orientation val="minMax"/>
        </c:scaling>
        <c:axPos val="b"/>
        <c:tickLblPos val="nextTo"/>
        <c:spPr>
          <a:ln>
            <a:noFill/>
          </a:ln>
        </c:spPr>
        <c:crossAx val="153345024"/>
        <c:crosses val="autoZero"/>
        <c:auto val="1"/>
        <c:lblAlgn val="ctr"/>
        <c:lblOffset val="100"/>
      </c:catAx>
      <c:valAx>
        <c:axId val="153345024"/>
        <c:scaling>
          <c:orientation val="minMax"/>
        </c:scaling>
        <c:axPos val="l"/>
        <c:majorGridlines/>
        <c:title>
          <c:tx>
            <c:rich>
              <a:bodyPr rot="-5400000" vert="horz"/>
              <a:lstStyle/>
              <a:p>
                <a:pPr>
                  <a:defRPr/>
                </a:pPr>
                <a:r>
                  <a:rPr lang="en-US"/>
                  <a:t>Per capita weekly income </a:t>
                </a:r>
              </a:p>
            </c:rich>
          </c:tx>
        </c:title>
        <c:numFmt formatCode="&quot;$&quot;#,##0_);[Red]\(&quot;$&quot;#,##0\)" sourceLinked="0"/>
        <c:tickLblPos val="nextTo"/>
        <c:spPr>
          <a:ln>
            <a:noFill/>
          </a:ln>
        </c:spPr>
        <c:crossAx val="153343488"/>
        <c:crosses val="autoZero"/>
        <c:crossBetween val="between"/>
      </c:valAx>
    </c:plotArea>
    <c:plotVisOnly val="1"/>
    <c:dispBlanksAs val="gap"/>
  </c:chart>
  <c:spPr>
    <a:ln>
      <a:noFill/>
    </a:ln>
  </c:spPr>
  <c:printSettings>
    <c:headerFooter/>
    <c:pageMargins b="0.75000000000000411" l="0.70000000000000062" r="0.70000000000000062" t="0.75000000000000411"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AU"/>
  <c:chart>
    <c:plotArea>
      <c:layout/>
      <c:barChart>
        <c:barDir val="col"/>
        <c:grouping val="clustered"/>
        <c:ser>
          <c:idx val="0"/>
          <c:order val="0"/>
          <c:cat>
            <c:strRef>
              <c:f>'Australian context'!$A$55:$A$62</c:f>
              <c:strCache>
                <c:ptCount val="8"/>
                <c:pt idx="0">
                  <c:v>ACT</c:v>
                </c:pt>
                <c:pt idx="1">
                  <c:v>NSW</c:v>
                </c:pt>
                <c:pt idx="2">
                  <c:v>NT</c:v>
                </c:pt>
                <c:pt idx="3">
                  <c:v>Qld</c:v>
                </c:pt>
                <c:pt idx="4">
                  <c:v>SA</c:v>
                </c:pt>
                <c:pt idx="5">
                  <c:v>Tas</c:v>
                </c:pt>
                <c:pt idx="6">
                  <c:v>Vic</c:v>
                </c:pt>
                <c:pt idx="7">
                  <c:v>WA</c:v>
                </c:pt>
              </c:strCache>
            </c:strRef>
          </c:cat>
          <c:val>
            <c:numRef>
              <c:f>'Australian context'!$D$55:$D$62</c:f>
              <c:numCache>
                <c:formatCode>_-* #,##0.00_-;\-* #,##0.00_-;_-* "-"??_-;_-@_-</c:formatCode>
                <c:ptCount val="8"/>
                <c:pt idx="0">
                  <c:v>736.94445428114477</c:v>
                </c:pt>
                <c:pt idx="1">
                  <c:v>344.18296805904771</c:v>
                </c:pt>
                <c:pt idx="2">
                  <c:v>314.33222696325475</c:v>
                </c:pt>
                <c:pt idx="3">
                  <c:v>280.11241418307134</c:v>
                </c:pt>
                <c:pt idx="4">
                  <c:v>316.47138572547442</c:v>
                </c:pt>
                <c:pt idx="5">
                  <c:v>255.19631407708857</c:v>
                </c:pt>
                <c:pt idx="6">
                  <c:v>346.67350181723322</c:v>
                </c:pt>
                <c:pt idx="7">
                  <c:v>387.96486774646411</c:v>
                </c:pt>
              </c:numCache>
            </c:numRef>
          </c:val>
        </c:ser>
        <c:dLbls/>
        <c:axId val="164772480"/>
        <c:axId val="164778368"/>
      </c:barChart>
      <c:catAx>
        <c:axId val="164772480"/>
        <c:scaling>
          <c:orientation val="minMax"/>
        </c:scaling>
        <c:axPos val="b"/>
        <c:tickLblPos val="nextTo"/>
        <c:crossAx val="164778368"/>
        <c:crosses val="autoZero"/>
        <c:auto val="1"/>
        <c:lblAlgn val="ctr"/>
        <c:lblOffset val="100"/>
      </c:catAx>
      <c:valAx>
        <c:axId val="164778368"/>
        <c:scaling>
          <c:orientation val="minMax"/>
        </c:scaling>
        <c:delete val="1"/>
        <c:axPos val="l"/>
        <c:numFmt formatCode="_-* #,##0.00_-;\-* #,##0.00_-;_-* &quot;-&quot;??_-;_-@_-" sourceLinked="1"/>
        <c:tickLblPos val="none"/>
        <c:crossAx val="164772480"/>
        <c:crosses val="autoZero"/>
        <c:crossBetween val="between"/>
      </c:valAx>
    </c:plotArea>
    <c:plotVisOnly val="1"/>
    <c:dispBlanksAs val="gap"/>
  </c:chart>
  <c:spPr>
    <a:ln>
      <a:noFill/>
    </a:ln>
  </c:sp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8562729658793156"/>
          <c:y val="0.16317884983295219"/>
          <c:w val="0.78381714785651757"/>
          <c:h val="0.72063954730382318"/>
        </c:manualLayout>
      </c:layout>
      <c:barChart>
        <c:barDir val="col"/>
        <c:grouping val="stacked"/>
        <c:ser>
          <c:idx val="0"/>
          <c:order val="0"/>
          <c:tx>
            <c:strRef>
              <c:f>NSW!$BG$10</c:f>
              <c:strCache>
                <c:ptCount val="1"/>
                <c:pt idx="0">
                  <c:v>Disposal</c:v>
                </c:pt>
              </c:strCache>
            </c:strRef>
          </c:tx>
          <c:spPr>
            <a:solidFill>
              <a:schemeClr val="accent2">
                <a:lumMod val="75000"/>
              </a:schemeClr>
            </a:solidFill>
          </c:spPr>
          <c:dLbls>
            <c:txPr>
              <a:bodyPr/>
              <a:lstStyle/>
              <a:p>
                <a:pPr>
                  <a:defRPr>
                    <a:solidFill>
                      <a:schemeClr val="bg1"/>
                    </a:solidFill>
                  </a:defRPr>
                </a:pPr>
                <a:endParaRPr lang="en-US"/>
              </a:p>
            </c:txPr>
            <c:showVal val="1"/>
          </c:dLbls>
          <c:cat>
            <c:strRef>
              <c:f>NSW!$BH$9:$BJ$9</c:f>
              <c:strCache>
                <c:ptCount val="3"/>
                <c:pt idx="0">
                  <c:v>MSW</c:v>
                </c:pt>
                <c:pt idx="1">
                  <c:v>C&amp;I</c:v>
                </c:pt>
                <c:pt idx="2">
                  <c:v>C&amp;D</c:v>
                </c:pt>
              </c:strCache>
            </c:strRef>
          </c:cat>
          <c:val>
            <c:numRef>
              <c:f>NSW!$BH$10:$BJ$10</c:f>
              <c:numCache>
                <c:formatCode>#,##0</c:formatCode>
                <c:ptCount val="3"/>
                <c:pt idx="0">
                  <c:v>2023.8761619114018</c:v>
                </c:pt>
                <c:pt idx="1">
                  <c:v>2181.6746066493597</c:v>
                </c:pt>
                <c:pt idx="2">
                  <c:v>1730.4238111413083</c:v>
                </c:pt>
              </c:numCache>
            </c:numRef>
          </c:val>
        </c:ser>
        <c:ser>
          <c:idx val="1"/>
          <c:order val="1"/>
          <c:tx>
            <c:strRef>
              <c:f>NSW!$BG$11</c:f>
              <c:strCache>
                <c:ptCount val="1"/>
                <c:pt idx="0">
                  <c:v>Recycling</c:v>
                </c:pt>
              </c:strCache>
            </c:strRef>
          </c:tx>
          <c:spPr>
            <a:solidFill>
              <a:srgbClr val="FFCC00"/>
            </a:solidFill>
          </c:spPr>
          <c:dLbls>
            <c:showVal val="1"/>
          </c:dLbls>
          <c:cat>
            <c:strRef>
              <c:f>NSW!$BH$9:$BJ$9</c:f>
              <c:strCache>
                <c:ptCount val="3"/>
                <c:pt idx="0">
                  <c:v>MSW</c:v>
                </c:pt>
                <c:pt idx="1">
                  <c:v>C&amp;I</c:v>
                </c:pt>
                <c:pt idx="2">
                  <c:v>C&amp;D</c:v>
                </c:pt>
              </c:strCache>
            </c:strRef>
          </c:cat>
          <c:val>
            <c:numRef>
              <c:f>NSW!$BH$11:$BJ$11</c:f>
              <c:numCache>
                <c:formatCode>#,##0</c:formatCode>
                <c:ptCount val="3"/>
                <c:pt idx="0">
                  <c:v>2457</c:v>
                </c:pt>
                <c:pt idx="1">
                  <c:v>3099.5</c:v>
                </c:pt>
                <c:pt idx="2">
                  <c:v>5156</c:v>
                </c:pt>
              </c:numCache>
            </c:numRef>
          </c:val>
        </c:ser>
        <c:ser>
          <c:idx val="2"/>
          <c:order val="2"/>
          <c:tx>
            <c:strRef>
              <c:f>NSW!$BG$12</c:f>
              <c:strCache>
                <c:ptCount val="1"/>
                <c:pt idx="0">
                  <c:v>Energy recovery</c:v>
                </c:pt>
              </c:strCache>
            </c:strRef>
          </c:tx>
          <c:spPr>
            <a:solidFill>
              <a:schemeClr val="accent6">
                <a:lumMod val="75000"/>
              </a:schemeClr>
            </a:solidFill>
          </c:spPr>
          <c:dLbls>
            <c:showVal val="1"/>
          </c:dLbls>
          <c:cat>
            <c:strRef>
              <c:f>NSW!$BH$9:$BJ$9</c:f>
              <c:strCache>
                <c:ptCount val="3"/>
                <c:pt idx="0">
                  <c:v>MSW</c:v>
                </c:pt>
                <c:pt idx="1">
                  <c:v>C&amp;I</c:v>
                </c:pt>
                <c:pt idx="2">
                  <c:v>C&amp;D</c:v>
                </c:pt>
              </c:strCache>
            </c:strRef>
          </c:cat>
          <c:val>
            <c:numRef>
              <c:f>NSW!$BH$12:$BJ$12</c:f>
              <c:numCache>
                <c:formatCode>#,##0</c:formatCode>
                <c:ptCount val="3"/>
                <c:pt idx="0">
                  <c:v>274.12383808859823</c:v>
                </c:pt>
                <c:pt idx="1">
                  <c:v>189.82505420182855</c:v>
                </c:pt>
                <c:pt idx="2">
                  <c:v>18.576188858691616</c:v>
                </c:pt>
              </c:numCache>
            </c:numRef>
          </c:val>
        </c:ser>
        <c:ser>
          <c:idx val="3"/>
          <c:order val="3"/>
          <c:tx>
            <c:strRef>
              <c:f>NSW!$BG$13</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442E-17"/>
                  <c:y val="-4.6376820061955051E-2"/>
                </c:manualLayout>
              </c:layout>
              <c:showVal val="1"/>
            </c:dLbl>
            <c:showVal val="1"/>
          </c:dLbls>
          <c:cat>
            <c:strRef>
              <c:f>NSW!$BH$9:$BJ$9</c:f>
              <c:strCache>
                <c:ptCount val="3"/>
                <c:pt idx="0">
                  <c:v>MSW</c:v>
                </c:pt>
                <c:pt idx="1">
                  <c:v>C&amp;I</c:v>
                </c:pt>
                <c:pt idx="2">
                  <c:v>C&amp;D</c:v>
                </c:pt>
              </c:strCache>
            </c:strRef>
          </c:cat>
          <c:val>
            <c:numRef>
              <c:f>NSW!$BH$13:$BJ$13</c:f>
              <c:numCache>
                <c:formatCode>0%</c:formatCode>
                <c:ptCount val="3"/>
                <c:pt idx="0">
                  <c:v>0.57436884081779149</c:v>
                </c:pt>
                <c:pt idx="1">
                  <c:v>0.60122925573167907</c:v>
                </c:pt>
                <c:pt idx="2">
                  <c:v>0.74939553785064317</c:v>
                </c:pt>
              </c:numCache>
            </c:numRef>
          </c:val>
        </c:ser>
        <c:dLbls/>
        <c:overlap val="100"/>
        <c:axId val="71430144"/>
        <c:axId val="71431680"/>
      </c:barChart>
      <c:catAx>
        <c:axId val="71430144"/>
        <c:scaling>
          <c:orientation val="minMax"/>
        </c:scaling>
        <c:axPos val="b"/>
        <c:majorTickMark val="none"/>
        <c:tickLblPos val="nextTo"/>
        <c:crossAx val="71431680"/>
        <c:crosses val="autoZero"/>
        <c:auto val="1"/>
        <c:lblAlgn val="ctr"/>
        <c:lblOffset val="100"/>
      </c:catAx>
      <c:valAx>
        <c:axId val="71431680"/>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45"/>
            </c:manualLayout>
          </c:layout>
        </c:title>
        <c:numFmt formatCode="#,##0" sourceLinked="1"/>
        <c:tickLblPos val="nextTo"/>
        <c:spPr>
          <a:ln>
            <a:noFill/>
          </a:ln>
        </c:spPr>
        <c:crossAx val="71430144"/>
        <c:crosses val="autoZero"/>
        <c:crossBetween val="between"/>
      </c:valAx>
    </c:plotArea>
    <c:legend>
      <c:legendPos val="t"/>
      <c:legendEntry>
        <c:idx val="3"/>
        <c:delete val="1"/>
      </c:legendEntry>
    </c:legend>
    <c:plotVisOnly val="1"/>
    <c:dispBlanksAs val="gap"/>
  </c:chart>
  <c:spPr>
    <a:ln>
      <a:noFill/>
    </a:ln>
  </c:spPr>
  <c:printSettings>
    <c:headerFooter/>
    <c:pageMargins b="0.75000000000000921" l="0.70000000000000062" r="0.70000000000000062" t="0.7500000000000092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AU"/>
  <c:chart>
    <c:plotArea>
      <c:layout>
        <c:manualLayout>
          <c:layoutTarget val="inner"/>
          <c:xMode val="edge"/>
          <c:yMode val="edge"/>
          <c:x val="0.13916265012328005"/>
          <c:y val="0.16317884983295219"/>
          <c:w val="0.83028171478565149"/>
          <c:h val="0.65571199921708123"/>
        </c:manualLayout>
      </c:layout>
      <c:barChart>
        <c:barDir val="col"/>
        <c:grouping val="stacked"/>
        <c:ser>
          <c:idx val="0"/>
          <c:order val="0"/>
          <c:tx>
            <c:strRef>
              <c:f>NSW!$BH$22</c:f>
              <c:strCache>
                <c:ptCount val="1"/>
                <c:pt idx="0">
                  <c:v>Disposal</c:v>
                </c:pt>
              </c:strCache>
            </c:strRef>
          </c:tx>
          <c:spPr>
            <a:solidFill>
              <a:schemeClr val="accent2">
                <a:lumMod val="75000"/>
              </a:schemeClr>
            </a:solidFill>
          </c:spPr>
          <c:cat>
            <c:strRef>
              <c:f>NSW!$BG$23:$BG$31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NSW!$BH$23:$BH$31</c:f>
              <c:numCache>
                <c:formatCode>#,##0</c:formatCode>
                <c:ptCount val="9"/>
                <c:pt idx="0">
                  <c:v>911.5</c:v>
                </c:pt>
                <c:pt idx="1">
                  <c:v>129.5</c:v>
                </c:pt>
                <c:pt idx="2">
                  <c:v>1793.9482998096171</c:v>
                </c:pt>
                <c:pt idx="3">
                  <c:v>213.21148295372046</c:v>
                </c:pt>
                <c:pt idx="4">
                  <c:v>611.5</c:v>
                </c:pt>
                <c:pt idx="5">
                  <c:v>115.5</c:v>
                </c:pt>
                <c:pt idx="6">
                  <c:v>176.81479693873237</c:v>
                </c:pt>
                <c:pt idx="7">
                  <c:v>987.5</c:v>
                </c:pt>
                <c:pt idx="8">
                  <c:v>1628.6425628949589</c:v>
                </c:pt>
              </c:numCache>
            </c:numRef>
          </c:val>
        </c:ser>
        <c:ser>
          <c:idx val="1"/>
          <c:order val="1"/>
          <c:tx>
            <c:strRef>
              <c:f>NSW!$BI$22</c:f>
              <c:strCache>
                <c:ptCount val="1"/>
                <c:pt idx="0">
                  <c:v>Recycling</c:v>
                </c:pt>
              </c:strCache>
            </c:strRef>
          </c:tx>
          <c:spPr>
            <a:solidFill>
              <a:srgbClr val="FFCC00"/>
            </a:solidFill>
          </c:spPr>
          <c:cat>
            <c:strRef>
              <c:f>NSW!$BG$23:$BG$31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NSW!$BI$23:$BI$31</c:f>
              <c:numCache>
                <c:formatCode>#,##0</c:formatCode>
                <c:ptCount val="9"/>
                <c:pt idx="0">
                  <c:v>4307</c:v>
                </c:pt>
                <c:pt idx="1">
                  <c:v>2034.5</c:v>
                </c:pt>
                <c:pt idx="2">
                  <c:v>2094.5</c:v>
                </c:pt>
                <c:pt idx="3">
                  <c:v>892</c:v>
                </c:pt>
                <c:pt idx="4">
                  <c:v>72.5</c:v>
                </c:pt>
                <c:pt idx="5">
                  <c:v>299.5</c:v>
                </c:pt>
                <c:pt idx="6">
                  <c:v>89.5</c:v>
                </c:pt>
                <c:pt idx="7">
                  <c:v>0</c:v>
                </c:pt>
                <c:pt idx="8">
                  <c:v>2876.5989823356717</c:v>
                </c:pt>
              </c:numCache>
            </c:numRef>
          </c:val>
        </c:ser>
        <c:ser>
          <c:idx val="2"/>
          <c:order val="2"/>
          <c:tx>
            <c:strRef>
              <c:f>NSW!$BJ$22</c:f>
              <c:strCache>
                <c:ptCount val="1"/>
                <c:pt idx="0">
                  <c:v>Energy recovery</c:v>
                </c:pt>
              </c:strCache>
            </c:strRef>
          </c:tx>
          <c:spPr>
            <a:solidFill>
              <a:schemeClr val="accent6">
                <a:lumMod val="75000"/>
              </a:schemeClr>
            </a:solidFill>
          </c:spPr>
          <c:cat>
            <c:strRef>
              <c:f>NSW!$BG$23:$BG$31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NSW!$BJ$23:$BJ$31</c:f>
              <c:numCache>
                <c:formatCode>#,##0</c:formatCode>
                <c:ptCount val="9"/>
                <c:pt idx="0">
                  <c:v>0</c:v>
                </c:pt>
                <c:pt idx="1">
                  <c:v>0</c:v>
                </c:pt>
                <c:pt idx="2">
                  <c:v>420.05136104157117</c:v>
                </c:pt>
                <c:pt idx="3">
                  <c:v>33.788517046279523</c:v>
                </c:pt>
                <c:pt idx="4">
                  <c:v>0</c:v>
                </c:pt>
                <c:pt idx="5">
                  <c:v>0</c:v>
                </c:pt>
                <c:pt idx="6">
                  <c:v>28.685203061267629</c:v>
                </c:pt>
                <c:pt idx="7">
                  <c:v>0</c:v>
                </c:pt>
                <c:pt idx="8">
                  <c:v>0</c:v>
                </c:pt>
              </c:numCache>
            </c:numRef>
          </c:val>
        </c:ser>
        <c:ser>
          <c:idx val="3"/>
          <c:order val="3"/>
          <c:tx>
            <c:strRef>
              <c:f>NSW!$BK$22</c:f>
              <c:strCache>
                <c:ptCount val="1"/>
                <c:pt idx="0">
                  <c:v>Recovery rate</c:v>
                </c:pt>
              </c:strCache>
            </c:strRef>
          </c:tx>
          <c:spPr>
            <a:noFill/>
            <a:ln>
              <a:noFill/>
            </a:ln>
          </c:spPr>
          <c:dLbls>
            <c:dLbl>
              <c:idx val="0"/>
              <c:layout>
                <c:manualLayout>
                  <c:x val="0"/>
                  <c:y val="-4.1739138055759545E-2"/>
                </c:manualLayout>
              </c:layout>
              <c:showVal val="1"/>
            </c:dLbl>
            <c:dLbl>
              <c:idx val="1"/>
              <c:layout>
                <c:manualLayout>
                  <c:x val="0"/>
                  <c:y val="-3.7101456049564045E-2"/>
                </c:manualLayout>
              </c:layout>
              <c:showVal val="1"/>
            </c:dLbl>
            <c:dLbl>
              <c:idx val="2"/>
              <c:layout>
                <c:manualLayout>
                  <c:x val="-9.9518222369114639E-17"/>
                  <c:y val="-4.6376820061955051E-2"/>
                </c:manualLayout>
              </c:layout>
              <c:showVal val="1"/>
            </c:dLbl>
            <c:dLbl>
              <c:idx val="3"/>
              <c:layout>
                <c:manualLayout>
                  <c:x val="0"/>
                  <c:y val="-2.3188410030977526E-2"/>
                </c:manualLayout>
              </c:layout>
              <c:showVal val="1"/>
            </c:dLbl>
            <c:dLbl>
              <c:idx val="4"/>
              <c:layout>
                <c:manualLayout>
                  <c:x val="2.0202020202020202E-3"/>
                  <c:y val="-2.7826092037172952E-2"/>
                </c:manualLayout>
              </c:layout>
              <c:showVal val="1"/>
            </c:dLbl>
            <c:dLbl>
              <c:idx val="5"/>
              <c:layout>
                <c:manualLayout>
                  <c:x val="-7.4073218373939764E-17"/>
                  <c:y val="-4.1739138055759545E-2"/>
                </c:manualLayout>
              </c:layout>
              <c:showVal val="1"/>
            </c:dLbl>
            <c:dLbl>
              <c:idx val="6"/>
              <c:layout>
                <c:manualLayout>
                  <c:x val="0"/>
                  <c:y val="-5.5652184074346134E-2"/>
                </c:manualLayout>
              </c:layout>
              <c:showVal val="1"/>
            </c:dLbl>
            <c:dLbl>
              <c:idx val="7"/>
              <c:layout>
                <c:manualLayout>
                  <c:x val="0"/>
                  <c:y val="-2.3188410030977526E-2"/>
                </c:manualLayout>
              </c:layout>
              <c:showVal val="1"/>
            </c:dLbl>
            <c:dLbl>
              <c:idx val="8"/>
              <c:layout>
                <c:manualLayout>
                  <c:x val="2.0202020202020202E-3"/>
                  <c:y val="-1.8550728024782356E-2"/>
                </c:manualLayout>
              </c:layout>
              <c:showVal val="1"/>
            </c:dLbl>
            <c:showVal val="1"/>
          </c:dLbls>
          <c:cat>
            <c:strRef>
              <c:f>NSW!$BG$23:$BG$31</c:f>
              <c:strCache>
                <c:ptCount val="9"/>
                <c:pt idx="0">
                  <c:v>Masonry materials</c:v>
                </c:pt>
                <c:pt idx="1">
                  <c:v>Metals</c:v>
                </c:pt>
                <c:pt idx="2">
                  <c:v>Organics</c:v>
                </c:pt>
                <c:pt idx="3">
                  <c:v>Paper &amp; cardboard</c:v>
                </c:pt>
                <c:pt idx="4">
                  <c:v>Plastics</c:v>
                </c:pt>
                <c:pt idx="5">
                  <c:v>Glass</c:v>
                </c:pt>
                <c:pt idx="6">
                  <c:v>Other</c:v>
                </c:pt>
                <c:pt idx="7">
                  <c:v>Hazardous</c:v>
                </c:pt>
                <c:pt idx="8">
                  <c:v>Fly ash</c:v>
                </c:pt>
              </c:strCache>
            </c:strRef>
          </c:cat>
          <c:val>
            <c:numRef>
              <c:f>NSW!$BK$23:$BK$31</c:f>
              <c:numCache>
                <c:formatCode>0%</c:formatCode>
                <c:ptCount val="9"/>
                <c:pt idx="0">
                  <c:v>0.82533295008144103</c:v>
                </c:pt>
                <c:pt idx="1">
                  <c:v>0.94015711645101663</c:v>
                </c:pt>
                <c:pt idx="2">
                  <c:v>0.58362575350529222</c:v>
                </c:pt>
                <c:pt idx="3">
                  <c:v>0.81280818002307242</c:v>
                </c:pt>
                <c:pt idx="4">
                  <c:v>0.10599415204678363</c:v>
                </c:pt>
                <c:pt idx="5">
                  <c:v>0.72168674698795177</c:v>
                </c:pt>
                <c:pt idx="6">
                  <c:v>0.4006278069873479</c:v>
                </c:pt>
                <c:pt idx="7">
                  <c:v>0</c:v>
                </c:pt>
                <c:pt idx="8">
                  <c:v>0.63850050068478936</c:v>
                </c:pt>
              </c:numCache>
            </c:numRef>
          </c:val>
        </c:ser>
        <c:dLbls/>
        <c:overlap val="100"/>
        <c:axId val="71606656"/>
        <c:axId val="71608192"/>
      </c:barChart>
      <c:catAx>
        <c:axId val="71606656"/>
        <c:scaling>
          <c:orientation val="minMax"/>
        </c:scaling>
        <c:axPos val="b"/>
        <c:majorTickMark val="none"/>
        <c:tickLblPos val="nextTo"/>
        <c:crossAx val="71608192"/>
        <c:crosses val="autoZero"/>
        <c:auto val="1"/>
        <c:lblAlgn val="ctr"/>
        <c:lblOffset val="100"/>
      </c:catAx>
      <c:valAx>
        <c:axId val="71608192"/>
        <c:scaling>
          <c:orientation val="minMax"/>
        </c:scaling>
        <c:axPos val="l"/>
        <c:majorGridlines/>
        <c:title>
          <c:tx>
            <c:rich>
              <a:bodyPr rot="-5400000" vert="horz"/>
              <a:lstStyle/>
              <a:p>
                <a:pPr>
                  <a:defRPr/>
                </a:pPr>
                <a:r>
                  <a:rPr lang="en-US"/>
                  <a:t>Thousands of tonnes</a:t>
                </a:r>
              </a:p>
            </c:rich>
          </c:tx>
          <c:layout>
            <c:manualLayout>
              <c:xMode val="edge"/>
              <c:yMode val="edge"/>
              <c:x val="2.6154289363295433E-2"/>
              <c:y val="0.31387539680482968"/>
            </c:manualLayout>
          </c:layout>
        </c:title>
        <c:numFmt formatCode="#,##0" sourceLinked="1"/>
        <c:tickLblPos val="nextTo"/>
        <c:spPr>
          <a:ln>
            <a:noFill/>
          </a:ln>
        </c:spPr>
        <c:crossAx val="71606656"/>
        <c:crosses val="autoZero"/>
        <c:crossBetween val="between"/>
      </c:valAx>
    </c:plotArea>
    <c:legend>
      <c:legendPos val="t"/>
      <c:legendEntry>
        <c:idx val="3"/>
        <c:delete val="1"/>
      </c:legendEntry>
    </c:legend>
    <c:plotVisOnly val="1"/>
    <c:dispBlanksAs val="gap"/>
  </c:chart>
  <c:spPr>
    <a:ln>
      <a:noFill/>
    </a:ln>
  </c:spPr>
  <c:printSettings>
    <c:headerFooter/>
    <c:pageMargins b="0.75000000000000944" l="0.70000000000000062" r="0.70000000000000062" t="0.750000000000009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AU"/>
  <c:chart>
    <c:plotArea>
      <c:layout/>
      <c:areaChart>
        <c:grouping val="stacked"/>
        <c:ser>
          <c:idx val="0"/>
          <c:order val="0"/>
          <c:tx>
            <c:strRef>
              <c:f>NSW!$BU$43</c:f>
              <c:strCache>
                <c:ptCount val="1"/>
                <c:pt idx="0">
                  <c:v>Disposal</c:v>
                </c:pt>
              </c:strCache>
            </c:strRef>
          </c:tx>
          <c:spPr>
            <a:solidFill>
              <a:srgbClr val="C0504D">
                <a:lumMod val="75000"/>
              </a:srgbClr>
            </a:solidFill>
          </c:spPr>
          <c:cat>
            <c:strRef>
              <c:f>NSW!$BV$42:$BX$42</c:f>
              <c:strCache>
                <c:ptCount val="3"/>
                <c:pt idx="0">
                  <c:v>06/07</c:v>
                </c:pt>
                <c:pt idx="1">
                  <c:v>08/09</c:v>
                </c:pt>
                <c:pt idx="2">
                  <c:v>10/11</c:v>
                </c:pt>
              </c:strCache>
            </c:strRef>
          </c:cat>
          <c:val>
            <c:numRef>
              <c:f>NSW!$BV$43:$BX$43</c:f>
              <c:numCache>
                <c:formatCode>#,##0.00</c:formatCode>
                <c:ptCount val="3"/>
                <c:pt idx="0">
                  <c:v>1.0189968808373513</c:v>
                </c:pt>
                <c:pt idx="1">
                  <c:v>0.89658454018246925</c:v>
                </c:pt>
                <c:pt idx="2">
                  <c:v>0.82589612561467329</c:v>
                </c:pt>
              </c:numCache>
            </c:numRef>
          </c:val>
        </c:ser>
        <c:ser>
          <c:idx val="1"/>
          <c:order val="1"/>
          <c:tx>
            <c:strRef>
              <c:f>NSW!$BU$44</c:f>
              <c:strCache>
                <c:ptCount val="1"/>
                <c:pt idx="0">
                  <c:v>Recycling</c:v>
                </c:pt>
              </c:strCache>
            </c:strRef>
          </c:tx>
          <c:spPr>
            <a:solidFill>
              <a:srgbClr val="FFCC00"/>
            </a:solidFill>
          </c:spPr>
          <c:cat>
            <c:strRef>
              <c:f>NSW!$BV$42:$BX$42</c:f>
              <c:strCache>
                <c:ptCount val="3"/>
                <c:pt idx="0">
                  <c:v>06/07</c:v>
                </c:pt>
                <c:pt idx="1">
                  <c:v>08/09</c:v>
                </c:pt>
                <c:pt idx="2">
                  <c:v>10/11</c:v>
                </c:pt>
              </c:strCache>
            </c:strRef>
          </c:cat>
          <c:val>
            <c:numRef>
              <c:f>NSW!$BV$44:$BX$44</c:f>
              <c:numCache>
                <c:formatCode>#,##0.00</c:formatCode>
                <c:ptCount val="3"/>
                <c:pt idx="0">
                  <c:v>1.1654277929958485</c:v>
                </c:pt>
                <c:pt idx="1">
                  <c:v>1.3540911860124329</c:v>
                </c:pt>
                <c:pt idx="2">
                  <c:v>1.4904734053108508</c:v>
                </c:pt>
              </c:numCache>
            </c:numRef>
          </c:val>
        </c:ser>
        <c:ser>
          <c:idx val="2"/>
          <c:order val="2"/>
          <c:tx>
            <c:strRef>
              <c:f>NSW!$BU$45</c:f>
              <c:strCache>
                <c:ptCount val="1"/>
                <c:pt idx="0">
                  <c:v>Energy recovery</c:v>
                </c:pt>
              </c:strCache>
            </c:strRef>
          </c:tx>
          <c:spPr>
            <a:solidFill>
              <a:schemeClr val="accent6">
                <a:lumMod val="75000"/>
              </a:schemeClr>
            </a:solidFill>
          </c:spPr>
          <c:cat>
            <c:strRef>
              <c:f>NSW!$BV$42:$BX$42</c:f>
              <c:strCache>
                <c:ptCount val="3"/>
                <c:pt idx="0">
                  <c:v>06/07</c:v>
                </c:pt>
                <c:pt idx="1">
                  <c:v>08/09</c:v>
                </c:pt>
                <c:pt idx="2">
                  <c:v>10/11</c:v>
                </c:pt>
              </c:strCache>
            </c:strRef>
          </c:cat>
          <c:val>
            <c:numRef>
              <c:f>NSW!$BV$45:$BX$45</c:f>
              <c:numCache>
                <c:formatCode>#,##0.00</c:formatCode>
                <c:ptCount val="3"/>
                <c:pt idx="0">
                  <c:v>5.1091034763028995E-2</c:v>
                </c:pt>
                <c:pt idx="1">
                  <c:v>6.0112455760383147E-2</c:v>
                </c:pt>
                <c:pt idx="2">
                  <c:v>6.7135664023171157E-2</c:v>
                </c:pt>
              </c:numCache>
            </c:numRef>
          </c:val>
        </c:ser>
        <c:dLbls/>
        <c:axId val="76116736"/>
        <c:axId val="76118272"/>
      </c:areaChart>
      <c:catAx>
        <c:axId val="76116736"/>
        <c:scaling>
          <c:orientation val="minMax"/>
        </c:scaling>
        <c:axPos val="b"/>
        <c:tickLblPos val="nextTo"/>
        <c:crossAx val="76118272"/>
        <c:crosses val="autoZero"/>
        <c:auto val="1"/>
        <c:lblAlgn val="ctr"/>
        <c:lblOffset val="100"/>
      </c:catAx>
      <c:valAx>
        <c:axId val="76118272"/>
        <c:scaling>
          <c:orientation val="minMax"/>
        </c:scaling>
        <c:axPos val="l"/>
        <c:majorGridlines/>
        <c:title>
          <c:tx>
            <c:rich>
              <a:bodyPr rot="-5400000" vert="horz"/>
              <a:lstStyle/>
              <a:p>
                <a:pPr>
                  <a:defRPr/>
                </a:pPr>
                <a:r>
                  <a:rPr lang="en-US"/>
                  <a:t>Tonnes per capita</a:t>
                </a:r>
              </a:p>
            </c:rich>
          </c:tx>
          <c:layout>
            <c:manualLayout>
              <c:xMode val="edge"/>
              <c:yMode val="edge"/>
              <c:x val="1.6666666666666701E-2"/>
              <c:y val="0.30113345678575043"/>
            </c:manualLayout>
          </c:layout>
        </c:title>
        <c:numFmt formatCode="#,##0.0" sourceLinked="0"/>
        <c:tickLblPos val="nextTo"/>
        <c:crossAx val="76116736"/>
        <c:crosses val="autoZero"/>
        <c:crossBetween val="midCat"/>
      </c:valAx>
    </c:plotArea>
    <c:legend>
      <c:legendPos val="t"/>
    </c:legend>
    <c:plotVisOnly val="1"/>
    <c:dispBlanksAs val="zero"/>
  </c:chart>
  <c:spPr>
    <a:ln>
      <a:noFill/>
    </a:ln>
  </c:spPr>
  <c:printSettings>
    <c:headerFooter/>
    <c:pageMargins b="0.75000000000000577" l="0.70000000000000062" r="0.70000000000000062" t="0.75000000000000577"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chart" Target="../charts/chart54.xml"/><Relationship Id="rId3" Type="http://schemas.openxmlformats.org/officeDocument/2006/relationships/chart" Target="../charts/chart49.xml"/><Relationship Id="rId7" Type="http://schemas.openxmlformats.org/officeDocument/2006/relationships/chart" Target="../charts/chart53.xml"/><Relationship Id="rId12" Type="http://schemas.openxmlformats.org/officeDocument/2006/relationships/chart" Target="../charts/chart58.xm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chart" Target="../charts/chart52.xml"/><Relationship Id="rId11" Type="http://schemas.openxmlformats.org/officeDocument/2006/relationships/chart" Target="../charts/chart57.xml"/><Relationship Id="rId5" Type="http://schemas.openxmlformats.org/officeDocument/2006/relationships/chart" Target="../charts/chart51.xml"/><Relationship Id="rId10" Type="http://schemas.openxmlformats.org/officeDocument/2006/relationships/chart" Target="../charts/chart56.xml"/><Relationship Id="rId4" Type="http://schemas.openxmlformats.org/officeDocument/2006/relationships/chart" Target="../charts/chart50.xml"/><Relationship Id="rId9" Type="http://schemas.openxmlformats.org/officeDocument/2006/relationships/chart" Target="../charts/chart5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6.xml"/><Relationship Id="rId3" Type="http://schemas.openxmlformats.org/officeDocument/2006/relationships/chart" Target="../charts/chart61.xml"/><Relationship Id="rId7" Type="http://schemas.openxmlformats.org/officeDocument/2006/relationships/chart" Target="../charts/chart65.xml"/><Relationship Id="rId2" Type="http://schemas.openxmlformats.org/officeDocument/2006/relationships/chart" Target="../charts/chart60.xml"/><Relationship Id="rId1" Type="http://schemas.openxmlformats.org/officeDocument/2006/relationships/chart" Target="../charts/chart59.xml"/><Relationship Id="rId6" Type="http://schemas.openxmlformats.org/officeDocument/2006/relationships/chart" Target="../charts/chart64.xml"/><Relationship Id="rId5" Type="http://schemas.openxmlformats.org/officeDocument/2006/relationships/chart" Target="../charts/chart63.xml"/><Relationship Id="rId4" Type="http://schemas.openxmlformats.org/officeDocument/2006/relationships/chart" Target="../charts/chart6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1</xdr:col>
      <xdr:colOff>1525905</xdr:colOff>
      <xdr:row>14</xdr:row>
      <xdr:rowOff>28575</xdr:rowOff>
    </xdr:to>
    <xdr:pic>
      <xdr:nvPicPr>
        <xdr:cNvPr id="2" name="Picture 1" descr="blue%20environment%20logo%202"/>
        <xdr:cNvPicPr/>
      </xdr:nvPicPr>
      <xdr:blipFill>
        <a:blip xmlns:r="http://schemas.openxmlformats.org/officeDocument/2006/relationships" r:embed="rId1" cstate="print"/>
        <a:srcRect/>
        <a:stretch>
          <a:fillRect/>
        </a:stretch>
      </xdr:blipFill>
      <xdr:spPr bwMode="auto">
        <a:xfrm>
          <a:off x="0" y="4457700"/>
          <a:ext cx="2373630" cy="409575"/>
        </a:xfrm>
        <a:prstGeom prst="rect">
          <a:avLst/>
        </a:prstGeom>
        <a:noFill/>
        <a:ln w="9525">
          <a:noFill/>
          <a:miter lim="800000"/>
          <a:headEnd/>
          <a:tailEnd/>
        </a:ln>
      </xdr:spPr>
    </xdr:pic>
    <xdr:clientData/>
  </xdr:twoCellAnchor>
  <xdr:twoCellAnchor editAs="oneCell">
    <xdr:from>
      <xdr:col>0</xdr:col>
      <xdr:colOff>0</xdr:colOff>
      <xdr:row>15</xdr:row>
      <xdr:rowOff>0</xdr:rowOff>
    </xdr:from>
    <xdr:to>
      <xdr:col>1</xdr:col>
      <xdr:colOff>1352386</xdr:colOff>
      <xdr:row>17</xdr:row>
      <xdr:rowOff>46512</xdr:rowOff>
    </xdr:to>
    <xdr:pic>
      <xdr:nvPicPr>
        <xdr:cNvPr id="3" name="Picture 2"/>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0" y="5029200"/>
          <a:ext cx="2200111" cy="4275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438897</xdr:colOff>
      <xdr:row>1</xdr:row>
      <xdr:rowOff>36730</xdr:rowOff>
    </xdr:from>
    <xdr:to>
      <xdr:col>22</xdr:col>
      <xdr:colOff>123266</xdr:colOff>
      <xdr:row>17</xdr:row>
      <xdr:rowOff>36731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95252</xdr:colOff>
      <xdr:row>51</xdr:row>
      <xdr:rowOff>186328</xdr:rowOff>
    </xdr:from>
    <xdr:to>
      <xdr:col>27</xdr:col>
      <xdr:colOff>585823</xdr:colOff>
      <xdr:row>64</xdr:row>
      <xdr:rowOff>150034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156104</xdr:colOff>
      <xdr:row>67</xdr:row>
      <xdr:rowOff>23813</xdr:rowOff>
    </xdr:from>
    <xdr:to>
      <xdr:col>30</xdr:col>
      <xdr:colOff>304271</xdr:colOff>
      <xdr:row>81</xdr:row>
      <xdr:rowOff>178329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96495</xdr:colOff>
      <xdr:row>84</xdr:row>
      <xdr:rowOff>121397</xdr:rowOff>
    </xdr:from>
    <xdr:to>
      <xdr:col>26</xdr:col>
      <xdr:colOff>404189</xdr:colOff>
      <xdr:row>98</xdr:row>
      <xdr:rowOff>164259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526989</xdr:colOff>
      <xdr:row>42</xdr:row>
      <xdr:rowOff>63269</xdr:rowOff>
    </xdr:from>
    <xdr:to>
      <xdr:col>28</xdr:col>
      <xdr:colOff>517959</xdr:colOff>
      <xdr:row>52</xdr:row>
      <xdr:rowOff>4530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578970</xdr:colOff>
      <xdr:row>31</xdr:row>
      <xdr:rowOff>147545</xdr:rowOff>
    </xdr:from>
    <xdr:to>
      <xdr:col>28</xdr:col>
      <xdr:colOff>141319</xdr:colOff>
      <xdr:row>41</xdr:row>
      <xdr:rowOff>105211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158750</xdr:colOff>
      <xdr:row>17</xdr:row>
      <xdr:rowOff>10584</xdr:rowOff>
    </xdr:from>
    <xdr:to>
      <xdr:col>29</xdr:col>
      <xdr:colOff>5294</xdr:colOff>
      <xdr:row>30</xdr:row>
      <xdr:rowOff>39688</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349250</xdr:colOff>
      <xdr:row>17</xdr:row>
      <xdr:rowOff>3114</xdr:rowOff>
    </xdr:from>
    <xdr:to>
      <xdr:col>36</xdr:col>
      <xdr:colOff>195794</xdr:colOff>
      <xdr:row>30</xdr:row>
      <xdr:rowOff>32218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0</xdr:colOff>
      <xdr:row>1</xdr:row>
      <xdr:rowOff>0</xdr:rowOff>
    </xdr:from>
    <xdr:to>
      <xdr:col>32</xdr:col>
      <xdr:colOff>275168</xdr:colOff>
      <xdr:row>17</xdr:row>
      <xdr:rowOff>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631032</xdr:colOff>
      <xdr:row>143</xdr:row>
      <xdr:rowOff>190499</xdr:rowOff>
    </xdr:from>
    <xdr:to>
      <xdr:col>23</xdr:col>
      <xdr:colOff>11906</xdr:colOff>
      <xdr:row>168</xdr:row>
      <xdr:rowOff>130968</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23813</xdr:colOff>
      <xdr:row>151</xdr:row>
      <xdr:rowOff>0</xdr:rowOff>
    </xdr:from>
    <xdr:to>
      <xdr:col>37</xdr:col>
      <xdr:colOff>273842</xdr:colOff>
      <xdr:row>165</xdr:row>
      <xdr:rowOff>47624</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181</xdr:row>
      <xdr:rowOff>23813</xdr:rowOff>
    </xdr:from>
    <xdr:to>
      <xdr:col>23</xdr:col>
      <xdr:colOff>214313</xdr:colOff>
      <xdr:row>203</xdr:row>
      <xdr:rowOff>166687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671232</xdr:colOff>
      <xdr:row>2</xdr:row>
      <xdr:rowOff>152680</xdr:rowOff>
    </xdr:from>
    <xdr:to>
      <xdr:col>12</xdr:col>
      <xdr:colOff>605678</xdr:colOff>
      <xdr:row>17</xdr:row>
      <xdr:rowOff>38380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117662</xdr:colOff>
      <xdr:row>33</xdr:row>
      <xdr:rowOff>91606</xdr:rowOff>
    </xdr:from>
    <xdr:to>
      <xdr:col>20</xdr:col>
      <xdr:colOff>414616</xdr:colOff>
      <xdr:row>42</xdr:row>
      <xdr:rowOff>33617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137272</xdr:colOff>
      <xdr:row>20</xdr:row>
      <xdr:rowOff>30534</xdr:rowOff>
    </xdr:from>
    <xdr:to>
      <xdr:col>17</xdr:col>
      <xdr:colOff>440531</xdr:colOff>
      <xdr:row>31</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392906</xdr:colOff>
      <xdr:row>43</xdr:row>
      <xdr:rowOff>80962</xdr:rowOff>
    </xdr:from>
    <xdr:to>
      <xdr:col>18</xdr:col>
      <xdr:colOff>71437</xdr:colOff>
      <xdr:row>53</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292894</xdr:colOff>
      <xdr:row>55</xdr:row>
      <xdr:rowOff>95249</xdr:rowOff>
    </xdr:from>
    <xdr:to>
      <xdr:col>15</xdr:col>
      <xdr:colOff>250031</xdr:colOff>
      <xdr:row>64</xdr:row>
      <xdr:rowOff>119062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14286</xdr:rowOff>
    </xdr:from>
    <xdr:to>
      <xdr:col>4</xdr:col>
      <xdr:colOff>904876</xdr:colOff>
      <xdr:row>103</xdr:row>
      <xdr:rowOff>54768</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142874</xdr:colOff>
      <xdr:row>2</xdr:row>
      <xdr:rowOff>142875</xdr:rowOff>
    </xdr:from>
    <xdr:to>
      <xdr:col>20</xdr:col>
      <xdr:colOff>476249</xdr:colOff>
      <xdr:row>17</xdr:row>
      <xdr:rowOff>71437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488156</xdr:colOff>
      <xdr:row>125</xdr:row>
      <xdr:rowOff>142875</xdr:rowOff>
    </xdr:from>
    <xdr:to>
      <xdr:col>15</xdr:col>
      <xdr:colOff>250031</xdr:colOff>
      <xdr:row>134</xdr:row>
      <xdr:rowOff>23812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72</xdr:col>
      <xdr:colOff>11908</xdr:colOff>
      <xdr:row>47</xdr:row>
      <xdr:rowOff>83344</xdr:rowOff>
    </xdr:from>
    <xdr:to>
      <xdr:col>79</xdr:col>
      <xdr:colOff>333376</xdr:colOff>
      <xdr:row>62</xdr:row>
      <xdr:rowOff>154781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72</xdr:col>
      <xdr:colOff>11907</xdr:colOff>
      <xdr:row>70</xdr:row>
      <xdr:rowOff>130969</xdr:rowOff>
    </xdr:from>
    <xdr:to>
      <xdr:col>79</xdr:col>
      <xdr:colOff>333375</xdr:colOff>
      <xdr:row>86</xdr:row>
      <xdr:rowOff>35718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523875</xdr:colOff>
      <xdr:row>92</xdr:row>
      <xdr:rowOff>95250</xdr:rowOff>
    </xdr:from>
    <xdr:to>
      <xdr:col>79</xdr:col>
      <xdr:colOff>238125</xdr:colOff>
      <xdr:row>107</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488156</xdr:colOff>
      <xdr:row>6</xdr:row>
      <xdr:rowOff>23812</xdr:rowOff>
    </xdr:from>
    <xdr:to>
      <xdr:col>81</xdr:col>
      <xdr:colOff>261937</xdr:colOff>
      <xdr:row>21</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154082</xdr:colOff>
      <xdr:row>47</xdr:row>
      <xdr:rowOff>113462</xdr:rowOff>
    </xdr:from>
    <xdr:to>
      <xdr:col>77</xdr:col>
      <xdr:colOff>332674</xdr:colOff>
      <xdr:row>63</xdr:row>
      <xdr:rowOff>28015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272143</xdr:colOff>
      <xdr:row>70</xdr:row>
      <xdr:rowOff>61234</xdr:rowOff>
    </xdr:from>
    <xdr:to>
      <xdr:col>77</xdr:col>
      <xdr:colOff>522174</xdr:colOff>
      <xdr:row>85</xdr:row>
      <xdr:rowOff>129268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190500</xdr:colOff>
      <xdr:row>91</xdr:row>
      <xdr:rowOff>83344</xdr:rowOff>
    </xdr:from>
    <xdr:to>
      <xdr:col>77</xdr:col>
      <xdr:colOff>523875</xdr:colOff>
      <xdr:row>106</xdr:row>
      <xdr:rowOff>154781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488156</xdr:colOff>
      <xdr:row>6</xdr:row>
      <xdr:rowOff>23812</xdr:rowOff>
    </xdr:from>
    <xdr:to>
      <xdr:col>81</xdr:col>
      <xdr:colOff>261937</xdr:colOff>
      <xdr:row>21</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68</xdr:col>
      <xdr:colOff>11905</xdr:colOff>
      <xdr:row>53</xdr:row>
      <xdr:rowOff>0</xdr:rowOff>
    </xdr:from>
    <xdr:to>
      <xdr:col>74</xdr:col>
      <xdr:colOff>511969</xdr:colOff>
      <xdr:row>69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488156</xdr:colOff>
      <xdr:row>53</xdr:row>
      <xdr:rowOff>23812</xdr:rowOff>
    </xdr:from>
    <xdr:to>
      <xdr:col>81</xdr:col>
      <xdr:colOff>261937</xdr:colOff>
      <xdr:row>68</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68</xdr:col>
      <xdr:colOff>0</xdr:colOff>
      <xdr:row>68</xdr:row>
      <xdr:rowOff>250031</xdr:rowOff>
    </xdr:from>
    <xdr:to>
      <xdr:col>78</xdr:col>
      <xdr:colOff>214312</xdr:colOff>
      <xdr:row>84</xdr:row>
      <xdr:rowOff>11906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190502</xdr:colOff>
      <xdr:row>95</xdr:row>
      <xdr:rowOff>47626</xdr:rowOff>
    </xdr:from>
    <xdr:to>
      <xdr:col>77</xdr:col>
      <xdr:colOff>119063</xdr:colOff>
      <xdr:row>110</xdr:row>
      <xdr:rowOff>119063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166689</xdr:colOff>
      <xdr:row>116</xdr:row>
      <xdr:rowOff>83345</xdr:rowOff>
    </xdr:from>
    <xdr:to>
      <xdr:col>77</xdr:col>
      <xdr:colOff>71438</xdr:colOff>
      <xdr:row>131</xdr:row>
      <xdr:rowOff>154782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154781</xdr:colOff>
      <xdr:row>138</xdr:row>
      <xdr:rowOff>59531</xdr:rowOff>
    </xdr:from>
    <xdr:to>
      <xdr:col>77</xdr:col>
      <xdr:colOff>214312</xdr:colOff>
      <xdr:row>153</xdr:row>
      <xdr:rowOff>130969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500062</xdr:colOff>
      <xdr:row>6</xdr:row>
      <xdr:rowOff>23811</xdr:rowOff>
    </xdr:from>
    <xdr:to>
      <xdr:col>88</xdr:col>
      <xdr:colOff>273843</xdr:colOff>
      <xdr:row>21</xdr:row>
      <xdr:rowOff>161923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75</xdr:col>
      <xdr:colOff>35720</xdr:colOff>
      <xdr:row>6</xdr:row>
      <xdr:rowOff>11905</xdr:rowOff>
    </xdr:from>
    <xdr:to>
      <xdr:col>81</xdr:col>
      <xdr:colOff>250032</xdr:colOff>
      <xdr:row>21</xdr:row>
      <xdr:rowOff>178592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476251</xdr:colOff>
      <xdr:row>48</xdr:row>
      <xdr:rowOff>11907</xdr:rowOff>
    </xdr:from>
    <xdr:to>
      <xdr:col>79</xdr:col>
      <xdr:colOff>190501</xdr:colOff>
      <xdr:row>63</xdr:row>
      <xdr:rowOff>83344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72</xdr:col>
      <xdr:colOff>11907</xdr:colOff>
      <xdr:row>69</xdr:row>
      <xdr:rowOff>142876</xdr:rowOff>
    </xdr:from>
    <xdr:to>
      <xdr:col>79</xdr:col>
      <xdr:colOff>333376</xdr:colOff>
      <xdr:row>86</xdr:row>
      <xdr:rowOff>35718</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523875</xdr:colOff>
      <xdr:row>92</xdr:row>
      <xdr:rowOff>95250</xdr:rowOff>
    </xdr:from>
    <xdr:to>
      <xdr:col>79</xdr:col>
      <xdr:colOff>238125</xdr:colOff>
      <xdr:row>107</xdr:row>
      <xdr:rowOff>166687</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488156</xdr:colOff>
      <xdr:row>6</xdr:row>
      <xdr:rowOff>23812</xdr:rowOff>
    </xdr:from>
    <xdr:to>
      <xdr:col>81</xdr:col>
      <xdr:colOff>261937</xdr:colOff>
      <xdr:row>21</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72</xdr:col>
      <xdr:colOff>23813</xdr:colOff>
      <xdr:row>47</xdr:row>
      <xdr:rowOff>142876</xdr:rowOff>
    </xdr:from>
    <xdr:to>
      <xdr:col>79</xdr:col>
      <xdr:colOff>345282</xdr:colOff>
      <xdr:row>63</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595313</xdr:colOff>
      <xdr:row>69</xdr:row>
      <xdr:rowOff>35720</xdr:rowOff>
    </xdr:from>
    <xdr:to>
      <xdr:col>79</xdr:col>
      <xdr:colOff>309563</xdr:colOff>
      <xdr:row>84</xdr:row>
      <xdr:rowOff>107157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511969</xdr:colOff>
      <xdr:row>93</xdr:row>
      <xdr:rowOff>59531</xdr:rowOff>
    </xdr:from>
    <xdr:to>
      <xdr:col>79</xdr:col>
      <xdr:colOff>226219</xdr:colOff>
      <xdr:row>108</xdr:row>
      <xdr:rowOff>130969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68</xdr:col>
      <xdr:colOff>47624</xdr:colOff>
      <xdr:row>6</xdr:row>
      <xdr:rowOff>0</xdr:rowOff>
    </xdr:from>
    <xdr:to>
      <xdr:col>74</xdr:col>
      <xdr:colOff>547688</xdr:colOff>
      <xdr:row>21</xdr:row>
      <xdr:rowOff>166687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81</xdr:col>
      <xdr:colOff>392906</xdr:colOff>
      <xdr:row>6</xdr:row>
      <xdr:rowOff>23811</xdr:rowOff>
    </xdr:from>
    <xdr:to>
      <xdr:col>88</xdr:col>
      <xdr:colOff>166687</xdr:colOff>
      <xdr:row>21</xdr:row>
      <xdr:rowOff>190498</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75</xdr:col>
      <xdr:colOff>35720</xdr:colOff>
      <xdr:row>6</xdr:row>
      <xdr:rowOff>11905</xdr:rowOff>
    </xdr:from>
    <xdr:to>
      <xdr:col>81</xdr:col>
      <xdr:colOff>250032</xdr:colOff>
      <xdr:row>21</xdr:row>
      <xdr:rowOff>178592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72</xdr:col>
      <xdr:colOff>23815</xdr:colOff>
      <xdr:row>47</xdr:row>
      <xdr:rowOff>119064</xdr:rowOff>
    </xdr:from>
    <xdr:to>
      <xdr:col>79</xdr:col>
      <xdr:colOff>345283</xdr:colOff>
      <xdr:row>63</xdr:row>
      <xdr:rowOff>23813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595313</xdr:colOff>
      <xdr:row>69</xdr:row>
      <xdr:rowOff>83345</xdr:rowOff>
    </xdr:from>
    <xdr:to>
      <xdr:col>79</xdr:col>
      <xdr:colOff>309563</xdr:colOff>
      <xdr:row>85</xdr:row>
      <xdr:rowOff>142876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71</xdr:col>
      <xdr:colOff>595312</xdr:colOff>
      <xdr:row>93</xdr:row>
      <xdr:rowOff>71437</xdr:rowOff>
    </xdr:from>
    <xdr:to>
      <xdr:col>79</xdr:col>
      <xdr:colOff>309562</xdr:colOff>
      <xdr:row>108</xdr:row>
      <xdr:rowOff>142875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68</xdr:col>
      <xdr:colOff>11905</xdr:colOff>
      <xdr:row>6</xdr:row>
      <xdr:rowOff>0</xdr:rowOff>
    </xdr:from>
    <xdr:to>
      <xdr:col>74</xdr:col>
      <xdr:colOff>511969</xdr:colOff>
      <xdr:row>21</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488156</xdr:colOff>
      <xdr:row>6</xdr:row>
      <xdr:rowOff>23812</xdr:rowOff>
    </xdr:from>
    <xdr:to>
      <xdr:col>81</xdr:col>
      <xdr:colOff>261937</xdr:colOff>
      <xdr:row>21</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68</xdr:col>
      <xdr:colOff>0</xdr:colOff>
      <xdr:row>21</xdr:row>
      <xdr:rowOff>250031</xdr:rowOff>
    </xdr:from>
    <xdr:to>
      <xdr:col>78</xdr:col>
      <xdr:colOff>214312</xdr:colOff>
      <xdr:row>37</xdr:row>
      <xdr:rowOff>11906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72</xdr:col>
      <xdr:colOff>11906</xdr:colOff>
      <xdr:row>48</xdr:row>
      <xdr:rowOff>11908</xdr:rowOff>
    </xdr:from>
    <xdr:to>
      <xdr:col>79</xdr:col>
      <xdr:colOff>333375</xdr:colOff>
      <xdr:row>63</xdr:row>
      <xdr:rowOff>83344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71</xdr:col>
      <xdr:colOff>595313</xdr:colOff>
      <xdr:row>69</xdr:row>
      <xdr:rowOff>142876</xdr:rowOff>
    </xdr:from>
    <xdr:to>
      <xdr:col>79</xdr:col>
      <xdr:colOff>309563</xdr:colOff>
      <xdr:row>85</xdr:row>
      <xdr:rowOff>47625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523875</xdr:colOff>
      <xdr:row>93</xdr:row>
      <xdr:rowOff>83344</xdr:rowOff>
    </xdr:from>
    <xdr:to>
      <xdr:col>79</xdr:col>
      <xdr:colOff>238125</xdr:colOff>
      <xdr:row>108</xdr:row>
      <xdr:rowOff>154780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e%20Picking/AppData/Roaming/Microsoft/Excel/WRiA2012%20database%20v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bas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
      <sheetName val="ACT"/>
      <sheetName val="NSW"/>
      <sheetName val="NT"/>
      <sheetName val="QLD"/>
      <sheetName val="SA"/>
      <sheetName val="TAS"/>
      <sheetName val="VIC"/>
      <sheetName val="WA"/>
      <sheetName val="C&amp;I composn"/>
      <sheetName val="Lfill en &amp; composn"/>
      <sheetName val="Biosolids"/>
      <sheetName val="ROU"/>
      <sheetName val="Fly ash"/>
      <sheetName val="PACIA"/>
      <sheetName val="Bioenergy"/>
      <sheetName val="AWT data"/>
      <sheetName val="Popn"/>
      <sheetName val="Economic"/>
      <sheetName val="Env ch"/>
      <sheetName val="Loc govt ch"/>
      <sheetName val="Haz-ACT"/>
      <sheetName val="Haz-NSW"/>
      <sheetName val="Haz-Qld"/>
      <sheetName val="Haz-SA"/>
      <sheetName val="Haz-Vic"/>
      <sheetName val="Haz-NT, Tas, WA"/>
      <sheetName val="Chec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0">
          <cell r="B10" t="str">
            <v>New South Wales ;  Gross state product: Chain volume measures ;</v>
          </cell>
          <cell r="C10" t="str">
            <v>Victoria ;  Gross state product: Chain volume measures ;</v>
          </cell>
          <cell r="D10" t="str">
            <v>Queensland ;  Gross state product: Chain volume measures ;</v>
          </cell>
          <cell r="E10" t="str">
            <v>South Australia ;  Gross state product: Chain volume measures ;</v>
          </cell>
          <cell r="F10" t="str">
            <v>Western Australia ;  Gross state product: Chain volume measures ;</v>
          </cell>
          <cell r="G10" t="str">
            <v>Tasmania ;  Gross state product: Chain volume measures ;</v>
          </cell>
          <cell r="H10" t="str">
            <v>Northern Territory ;  Gross state product: Chain volume measures ;</v>
          </cell>
          <cell r="I10" t="str">
            <v>Australian Capital Territory ;  Gross state product: Chain volume measures ;</v>
          </cell>
          <cell r="J10" t="str">
            <v>Australia ;  Gross domestic product: Chain volume measures ;</v>
          </cell>
        </row>
        <row r="11">
          <cell r="A11" t="str">
            <v>Unit</v>
          </cell>
          <cell r="B11" t="str">
            <v>$ Millions</v>
          </cell>
          <cell r="C11" t="str">
            <v>$ Millions</v>
          </cell>
          <cell r="D11" t="str">
            <v>$ Millions</v>
          </cell>
          <cell r="E11" t="str">
            <v>$ Millions</v>
          </cell>
          <cell r="F11" t="str">
            <v>$ Millions</v>
          </cell>
          <cell r="G11" t="str">
            <v>$ Millions</v>
          </cell>
          <cell r="H11" t="str">
            <v>$ Millions</v>
          </cell>
          <cell r="I11" t="str">
            <v>$ Millions</v>
          </cell>
          <cell r="J11" t="str">
            <v>$ Millions</v>
          </cell>
        </row>
        <row r="12">
          <cell r="A12" t="str">
            <v>Series Type</v>
          </cell>
          <cell r="B12" t="str">
            <v>Original</v>
          </cell>
          <cell r="C12" t="str">
            <v>Original</v>
          </cell>
          <cell r="D12" t="str">
            <v>Original</v>
          </cell>
          <cell r="E12" t="str">
            <v>Original</v>
          </cell>
          <cell r="F12" t="str">
            <v>Original</v>
          </cell>
          <cell r="G12" t="str">
            <v>Original</v>
          </cell>
          <cell r="H12" t="str">
            <v>Original</v>
          </cell>
          <cell r="I12" t="str">
            <v>Original</v>
          </cell>
          <cell r="J12" t="str">
            <v>Original</v>
          </cell>
        </row>
        <row r="13">
          <cell r="A13" t="str">
            <v>Data Type</v>
          </cell>
          <cell r="B13" t="str">
            <v>DERIVED</v>
          </cell>
          <cell r="C13" t="str">
            <v>DERIVED</v>
          </cell>
          <cell r="D13" t="str">
            <v>DERIVED</v>
          </cell>
          <cell r="E13" t="str">
            <v>DERIVED</v>
          </cell>
          <cell r="F13" t="str">
            <v>DERIVED</v>
          </cell>
          <cell r="G13" t="str">
            <v>DERIVED</v>
          </cell>
          <cell r="H13" t="str">
            <v>DERIVED</v>
          </cell>
          <cell r="I13" t="str">
            <v>DERIVED</v>
          </cell>
          <cell r="J13" t="str">
            <v>DERIVED</v>
          </cell>
        </row>
        <row r="14">
          <cell r="A14" t="str">
            <v>Frequency</v>
          </cell>
          <cell r="B14" t="str">
            <v>Annual</v>
          </cell>
          <cell r="C14" t="str">
            <v>Annual</v>
          </cell>
          <cell r="D14" t="str">
            <v>Annual</v>
          </cell>
          <cell r="E14" t="str">
            <v>Annual</v>
          </cell>
          <cell r="F14" t="str">
            <v>Annual</v>
          </cell>
          <cell r="G14" t="str">
            <v>Annual</v>
          </cell>
          <cell r="H14" t="str">
            <v>Annual</v>
          </cell>
          <cell r="I14" t="str">
            <v>Annual</v>
          </cell>
          <cell r="J14" t="str">
            <v>Annual</v>
          </cell>
        </row>
        <row r="15">
          <cell r="A15" t="str">
            <v>Collection Month</v>
          </cell>
          <cell r="B15">
            <v>6</v>
          </cell>
          <cell r="C15">
            <v>6</v>
          </cell>
          <cell r="D15">
            <v>6</v>
          </cell>
          <cell r="E15">
            <v>6</v>
          </cell>
          <cell r="F15">
            <v>6</v>
          </cell>
          <cell r="G15">
            <v>6</v>
          </cell>
          <cell r="H15">
            <v>6</v>
          </cell>
          <cell r="I15">
            <v>6</v>
          </cell>
          <cell r="J15">
            <v>6</v>
          </cell>
        </row>
        <row r="16">
          <cell r="A16" t="str">
            <v>Series Start</v>
          </cell>
          <cell r="B16">
            <v>33025</v>
          </cell>
          <cell r="C16">
            <v>33025</v>
          </cell>
          <cell r="D16">
            <v>33025</v>
          </cell>
          <cell r="E16">
            <v>33025</v>
          </cell>
          <cell r="F16">
            <v>33025</v>
          </cell>
          <cell r="G16">
            <v>33025</v>
          </cell>
          <cell r="H16">
            <v>33025</v>
          </cell>
          <cell r="I16">
            <v>33025</v>
          </cell>
          <cell r="J16">
            <v>33025</v>
          </cell>
        </row>
        <row r="17">
          <cell r="A17" t="str">
            <v>Series End</v>
          </cell>
          <cell r="B17">
            <v>41061</v>
          </cell>
          <cell r="C17">
            <v>41061</v>
          </cell>
          <cell r="D17">
            <v>41061</v>
          </cell>
          <cell r="E17">
            <v>41061</v>
          </cell>
          <cell r="F17">
            <v>41061</v>
          </cell>
          <cell r="G17">
            <v>41061</v>
          </cell>
          <cell r="H17">
            <v>41061</v>
          </cell>
          <cell r="I17">
            <v>41061</v>
          </cell>
          <cell r="J17">
            <v>41061</v>
          </cell>
        </row>
        <row r="18">
          <cell r="A18" t="str">
            <v>No. Obs</v>
          </cell>
          <cell r="B18">
            <v>23</v>
          </cell>
          <cell r="C18">
            <v>23</v>
          </cell>
          <cell r="D18">
            <v>23</v>
          </cell>
          <cell r="E18">
            <v>23</v>
          </cell>
          <cell r="F18">
            <v>23</v>
          </cell>
          <cell r="G18">
            <v>23</v>
          </cell>
          <cell r="H18">
            <v>23</v>
          </cell>
          <cell r="I18">
            <v>23</v>
          </cell>
          <cell r="J18">
            <v>23</v>
          </cell>
        </row>
        <row r="19">
          <cell r="A19" t="str">
            <v>Series ID</v>
          </cell>
          <cell r="B19" t="str">
            <v>A2336346L</v>
          </cell>
          <cell r="C19" t="str">
            <v>A2336347R</v>
          </cell>
          <cell r="D19" t="str">
            <v>A2336348T</v>
          </cell>
          <cell r="E19" t="str">
            <v>A2336349V</v>
          </cell>
          <cell r="F19" t="str">
            <v>A2336350C</v>
          </cell>
          <cell r="G19" t="str">
            <v>A2336351F</v>
          </cell>
          <cell r="H19" t="str">
            <v>A2336352J</v>
          </cell>
          <cell r="I19" t="str">
            <v>A2336353K</v>
          </cell>
          <cell r="J19" t="str">
            <v>A2336354L</v>
          </cell>
        </row>
        <row r="20">
          <cell r="A20">
            <v>38869</v>
          </cell>
          <cell r="B20">
            <v>392503</v>
          </cell>
          <cell r="C20">
            <v>277691</v>
          </cell>
          <cell r="D20">
            <v>235394</v>
          </cell>
          <cell r="E20">
            <v>78657</v>
          </cell>
          <cell r="F20">
            <v>177637</v>
          </cell>
          <cell r="G20">
            <v>22327</v>
          </cell>
          <cell r="H20">
            <v>14264</v>
          </cell>
          <cell r="I20">
            <v>25528</v>
          </cell>
          <cell r="J20">
            <v>1226323</v>
          </cell>
        </row>
        <row r="21">
          <cell r="A21">
            <v>39234</v>
          </cell>
          <cell r="B21">
            <v>400747</v>
          </cell>
          <cell r="C21">
            <v>288274</v>
          </cell>
          <cell r="D21">
            <v>248820</v>
          </cell>
          <cell r="E21">
            <v>80199</v>
          </cell>
          <cell r="F21">
            <v>188705</v>
          </cell>
          <cell r="G21">
            <v>22937</v>
          </cell>
          <cell r="H21">
            <v>15079</v>
          </cell>
          <cell r="I21">
            <v>26645</v>
          </cell>
          <cell r="J21">
            <v>1272776</v>
          </cell>
        </row>
        <row r="22">
          <cell r="A22">
            <v>39600</v>
          </cell>
          <cell r="B22">
            <v>412244</v>
          </cell>
          <cell r="C22">
            <v>298320</v>
          </cell>
          <cell r="D22">
            <v>260796</v>
          </cell>
          <cell r="E22">
            <v>84855</v>
          </cell>
          <cell r="F22">
            <v>195973</v>
          </cell>
          <cell r="G22">
            <v>23592</v>
          </cell>
          <cell r="H22">
            <v>16135</v>
          </cell>
          <cell r="I22">
            <v>27483</v>
          </cell>
          <cell r="J22">
            <v>1320746</v>
          </cell>
        </row>
        <row r="23">
          <cell r="A23">
            <v>39965</v>
          </cell>
          <cell r="B23">
            <v>416293</v>
          </cell>
          <cell r="C23">
            <v>301548</v>
          </cell>
          <cell r="D23">
            <v>263465</v>
          </cell>
          <cell r="E23">
            <v>86450</v>
          </cell>
          <cell r="F23">
            <v>204354</v>
          </cell>
          <cell r="G23">
            <v>24154</v>
          </cell>
          <cell r="H23">
            <v>16917</v>
          </cell>
          <cell r="I23">
            <v>28618</v>
          </cell>
          <cell r="J23">
            <v>1342514</v>
          </cell>
        </row>
        <row r="24">
          <cell r="A24">
            <v>40330</v>
          </cell>
          <cell r="B24">
            <v>424547</v>
          </cell>
          <cell r="C24">
            <v>307193</v>
          </cell>
          <cell r="D24">
            <v>267221</v>
          </cell>
          <cell r="E24">
            <v>87346</v>
          </cell>
          <cell r="F24">
            <v>213151</v>
          </cell>
          <cell r="G24">
            <v>24168</v>
          </cell>
          <cell r="H24">
            <v>17118</v>
          </cell>
          <cell r="I24">
            <v>29509</v>
          </cell>
          <cell r="J24">
            <v>1370540</v>
          </cell>
        </row>
        <row r="25">
          <cell r="A25">
            <v>40695</v>
          </cell>
          <cell r="B25">
            <v>435547</v>
          </cell>
          <cell r="C25">
            <v>315571</v>
          </cell>
          <cell r="D25">
            <v>269880</v>
          </cell>
          <cell r="E25">
            <v>89322</v>
          </cell>
          <cell r="F25">
            <v>221574</v>
          </cell>
          <cell r="G25">
            <v>24218</v>
          </cell>
          <cell r="H25">
            <v>17322</v>
          </cell>
          <cell r="I25">
            <v>30455</v>
          </cell>
          <cell r="J25">
            <v>1403888</v>
          </cell>
        </row>
        <row r="26">
          <cell r="A26">
            <v>41061</v>
          </cell>
          <cell r="B26">
            <v>446169</v>
          </cell>
          <cell r="C26">
            <v>322833</v>
          </cell>
          <cell r="D26">
            <v>280622</v>
          </cell>
          <cell r="E26">
            <v>91217</v>
          </cell>
          <cell r="F26">
            <v>236338</v>
          </cell>
          <cell r="G26">
            <v>24345</v>
          </cell>
          <cell r="H26">
            <v>18086</v>
          </cell>
          <cell r="I26">
            <v>31511</v>
          </cell>
          <cell r="J26">
            <v>1451120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RO"/>
      <sheetName val="ACT"/>
      <sheetName val="NSW"/>
      <sheetName val="NT"/>
      <sheetName val="QLD"/>
      <sheetName val="SA"/>
      <sheetName val="TAS"/>
      <sheetName val="VIC"/>
      <sheetName val="WA"/>
      <sheetName val="Haz-ACT"/>
      <sheetName val="Haz-NSW"/>
      <sheetName val="Haz-Qld"/>
      <sheetName val="Haz-SA"/>
      <sheetName val="Haz-Vic"/>
      <sheetName val="Haz-NT, Tas, WA"/>
      <sheetName val="C&amp;I composn"/>
      <sheetName val="Lfill en &amp; composn"/>
      <sheetName val="Biosolids"/>
      <sheetName val="ROU"/>
      <sheetName val="Fly ash"/>
      <sheetName val="PACIA"/>
      <sheetName val="Bioenergy"/>
      <sheetName val="AWT data"/>
      <sheetName val="Popn"/>
      <sheetName val="Economic"/>
      <sheetName val="Env ch"/>
      <sheetName val="Loc govt ch"/>
      <sheetName val="Int ch"/>
      <sheetName val="Org ch"/>
      <sheetName val="Checks"/>
    </sheetNames>
    <sheetDataSet>
      <sheetData sheetId="0"/>
      <sheetData sheetId="1">
        <row r="21">
          <cell r="L21">
            <v>0.49</v>
          </cell>
        </row>
        <row r="52">
          <cell r="L52">
            <v>203665.19708029198</v>
          </cell>
          <cell r="M52">
            <v>190541.73722627736</v>
          </cell>
          <cell r="N52">
            <v>184981.38686131386</v>
          </cell>
          <cell r="O52">
            <v>238656.93430656934</v>
          </cell>
        </row>
        <row r="53">
          <cell r="L53">
            <v>85341.226277372261</v>
          </cell>
          <cell r="M53">
            <v>87403.649635036491</v>
          </cell>
          <cell r="N53">
            <v>91774.277372262775</v>
          </cell>
        </row>
        <row r="54">
          <cell r="L54">
            <v>18515.503649635037</v>
          </cell>
          <cell r="M54">
            <v>24508.642335766424</v>
          </cell>
          <cell r="N54">
            <v>34635.53284671533</v>
          </cell>
          <cell r="O54">
            <v>45683.211678832115</v>
          </cell>
        </row>
        <row r="55">
          <cell r="L55">
            <v>99808.467153284684</v>
          </cell>
          <cell r="M55">
            <v>78629.445255474449</v>
          </cell>
          <cell r="N55">
            <v>58571.576642335756</v>
          </cell>
          <cell r="O55">
            <v>76031.824817518238</v>
          </cell>
        </row>
        <row r="62">
          <cell r="S62">
            <v>1075.0782481751826</v>
          </cell>
          <cell r="T62" t="str">
            <v>Liquid paperboard (LPB)</v>
          </cell>
        </row>
        <row r="64">
          <cell r="P64">
            <v>44101.919578187291</v>
          </cell>
          <cell r="Q64">
            <v>50773.187061480894</v>
          </cell>
          <cell r="R64">
            <v>45669.538163859514</v>
          </cell>
          <cell r="S64">
            <v>51019.616350364966</v>
          </cell>
          <cell r="U64" t="str">
            <v>Paper &amp; cardboard</v>
          </cell>
        </row>
        <row r="65">
          <cell r="P65">
            <v>11816.530732150843</v>
          </cell>
          <cell r="Q65">
            <v>14262.071089022029</v>
          </cell>
          <cell r="R65">
            <v>14963.139524520815</v>
          </cell>
          <cell r="S65">
            <v>14773.621167883211</v>
          </cell>
          <cell r="T65" t="str">
            <v>Glass</v>
          </cell>
          <cell r="U65" t="str">
            <v>Glass</v>
          </cell>
        </row>
        <row r="66">
          <cell r="P66">
            <v>510.58533364922954</v>
          </cell>
          <cell r="Q66">
            <v>481.46526557088617</v>
          </cell>
          <cell r="R66">
            <v>559.01140927572851</v>
          </cell>
          <cell r="S66">
            <v>533.70992700729937</v>
          </cell>
          <cell r="T66" t="str">
            <v>Polyethylene terephthalate (PET)</v>
          </cell>
        </row>
        <row r="67">
          <cell r="P67">
            <v>444.64586647637964</v>
          </cell>
          <cell r="Q67">
            <v>505.53852884943052</v>
          </cell>
          <cell r="R67">
            <v>514.43314697303879</v>
          </cell>
          <cell r="S67">
            <v>630.75781021897808</v>
          </cell>
          <cell r="T67" t="str">
            <v>High density polyethylene (HDPE)</v>
          </cell>
        </row>
        <row r="68">
          <cell r="S68">
            <v>1700.3195211678835</v>
          </cell>
          <cell r="U68" t="str">
            <v>Plastics</v>
          </cell>
        </row>
        <row r="69">
          <cell r="P69">
            <v>1379.3823673455624</v>
          </cell>
          <cell r="Q69">
            <v>1691.3696459036503</v>
          </cell>
          <cell r="R69">
            <v>2067.5398055987471</v>
          </cell>
          <cell r="S69">
            <v>238.50554744525547</v>
          </cell>
          <cell r="T69" t="str">
            <v>Aluminium</v>
          </cell>
        </row>
        <row r="70">
          <cell r="P70">
            <v>832.26300458705134</v>
          </cell>
          <cell r="Q70">
            <v>791.74288116101286</v>
          </cell>
          <cell r="R70">
            <v>914.74594245119204</v>
          </cell>
          <cell r="S70">
            <v>8.9051094890510961E-3</v>
          </cell>
          <cell r="T70" t="str">
            <v>Steel</v>
          </cell>
        </row>
        <row r="71">
          <cell r="P71">
            <v>29395.636250880336</v>
          </cell>
          <cell r="Q71">
            <v>31059.859243384057</v>
          </cell>
          <cell r="R71">
            <v>30109.941489728713</v>
          </cell>
          <cell r="S71">
            <v>4407.2544525547446</v>
          </cell>
          <cell r="T71" t="str">
            <v>Steel</v>
          </cell>
        </row>
        <row r="72">
          <cell r="S72">
            <v>4943.1062364963509</v>
          </cell>
          <cell r="U72" t="str">
            <v>Metals</v>
          </cell>
        </row>
        <row r="73">
          <cell r="P73">
            <v>199079.27105976024</v>
          </cell>
          <cell r="Q73">
            <v>175652.79451775769</v>
          </cell>
          <cell r="R73">
            <v>166456.12300348931</v>
          </cell>
          <cell r="S73">
            <v>272203.31883211678</v>
          </cell>
          <cell r="T73" t="str">
            <v>Garden organics</v>
          </cell>
        </row>
        <row r="74">
          <cell r="S74">
            <v>646.77810218978095</v>
          </cell>
          <cell r="T74" t="str">
            <v>Food organics</v>
          </cell>
        </row>
        <row r="75">
          <cell r="P75">
            <v>31106.498101851579</v>
          </cell>
          <cell r="Q75">
            <v>27986.505964823231</v>
          </cell>
          <cell r="R75">
            <v>27364.812097129081</v>
          </cell>
          <cell r="S75">
            <v>13066.600729927008</v>
          </cell>
          <cell r="T75" t="str">
            <v>Timber</v>
          </cell>
        </row>
        <row r="76">
          <cell r="P76">
            <v>230185.76916161182</v>
          </cell>
          <cell r="Q76">
            <v>203639.3004825809</v>
          </cell>
          <cell r="R76">
            <v>193820.93510061837</v>
          </cell>
          <cell r="S76">
            <v>285916.69766423362</v>
          </cell>
          <cell r="U76" t="str">
            <v>Organics</v>
          </cell>
        </row>
        <row r="77">
          <cell r="S77">
            <v>11977.372262773722</v>
          </cell>
          <cell r="T77" t="str">
            <v>Asphalt</v>
          </cell>
        </row>
        <row r="78">
          <cell r="S78">
            <v>21865.614744525548</v>
          </cell>
          <cell r="T78" t="str">
            <v>Bricks</v>
          </cell>
        </row>
        <row r="79">
          <cell r="S79">
            <v>242260.55605839417</v>
          </cell>
          <cell r="T79" t="str">
            <v>Concrete</v>
          </cell>
        </row>
        <row r="80">
          <cell r="S80">
            <v>26.964671532846715</v>
          </cell>
          <cell r="T80" t="str">
            <v>Plasterboard &amp; cement sheeting (ex. asbestos reinforced)</v>
          </cell>
        </row>
        <row r="81">
          <cell r="P81">
            <v>162975.63063486348</v>
          </cell>
          <cell r="Q81">
            <v>199562.89456741407</v>
          </cell>
          <cell r="R81">
            <v>220017.79672541699</v>
          </cell>
          <cell r="S81">
            <v>276130.50773722632</v>
          </cell>
          <cell r="U81" t="str">
            <v>Masonry materials</v>
          </cell>
        </row>
        <row r="82">
          <cell r="P82">
            <v>691.47333143420963</v>
          </cell>
          <cell r="Q82">
            <v>1290.148591261245</v>
          </cell>
          <cell r="R82">
            <v>1372.118913676788</v>
          </cell>
        </row>
        <row r="83">
          <cell r="P83">
            <v>4014.2878326174155</v>
          </cell>
          <cell r="Q83">
            <v>5934.5051993329971</v>
          </cell>
          <cell r="R83">
            <v>4171.633786285699</v>
          </cell>
          <cell r="S83">
            <v>1122.9343065693431</v>
          </cell>
          <cell r="T83" t="str">
            <v>Leather &amp; textiles</v>
          </cell>
        </row>
        <row r="84">
          <cell r="P84">
            <v>2312.336720453317</v>
          </cell>
          <cell r="Q84">
            <v>1176.9150936177218</v>
          </cell>
          <cell r="R84">
            <v>1671.6848363508627</v>
          </cell>
        </row>
        <row r="85">
          <cell r="P85">
            <v>3561.6223012146079</v>
          </cell>
          <cell r="Q85">
            <v>2047.1189810199157</v>
          </cell>
          <cell r="R85">
            <v>1949.8531931196462</v>
          </cell>
        </row>
        <row r="86">
          <cell r="P86">
            <v>605.03916500493347</v>
          </cell>
          <cell r="Q86">
            <v>1054.7655725377006</v>
          </cell>
          <cell r="R86">
            <v>618.74628076133263</v>
          </cell>
          <cell r="T86" t="str">
            <v xml:space="preserve">Other materials reported by jurisdiction </v>
          </cell>
        </row>
        <row r="87">
          <cell r="P87">
            <v>4366.2620154995202</v>
          </cell>
          <cell r="Q87">
            <v>3566.4093745991568</v>
          </cell>
          <cell r="R87">
            <v>2229.8046803805378</v>
          </cell>
          <cell r="S87">
            <v>104.82204379562043</v>
          </cell>
          <cell r="T87" t="str">
            <v>Tyres &amp; other rubber</v>
          </cell>
        </row>
        <row r="89">
          <cell r="S89">
            <v>27249.635036496351</v>
          </cell>
          <cell r="T89" t="str">
            <v>Other materials reported by jurisdiction</v>
          </cell>
        </row>
        <row r="98">
          <cell r="P98">
            <v>7444.9222733670385</v>
          </cell>
          <cell r="Q98">
            <v>2319.9492981767517</v>
          </cell>
          <cell r="R98">
            <v>2725.5149571864467</v>
          </cell>
          <cell r="T98" t="str">
            <v>Other materials reported by jurisdiction</v>
          </cell>
        </row>
        <row r="672">
          <cell r="J672">
            <v>1.8161180476730987E-2</v>
          </cell>
        </row>
        <row r="673">
          <cell r="J673">
            <v>3.1214528944381384E-2</v>
          </cell>
        </row>
        <row r="674">
          <cell r="J674">
            <v>0.31214528944381387</v>
          </cell>
        </row>
        <row r="675">
          <cell r="J675">
            <v>0.23499999999999999</v>
          </cell>
        </row>
        <row r="676">
          <cell r="J676">
            <v>0.14750000000000002</v>
          </cell>
        </row>
        <row r="677">
          <cell r="J677">
            <v>2.8999999999999998E-2</v>
          </cell>
        </row>
        <row r="678">
          <cell r="J678">
            <v>0.151</v>
          </cell>
        </row>
        <row r="687">
          <cell r="J687">
            <v>0.37478705281090285</v>
          </cell>
        </row>
        <row r="688">
          <cell r="J688">
            <v>5.7921635434412262E-2</v>
          </cell>
        </row>
        <row r="689">
          <cell r="J689">
            <v>0.2776831345826235</v>
          </cell>
        </row>
        <row r="690">
          <cell r="J690">
            <v>6.1328790459965928E-2</v>
          </cell>
        </row>
        <row r="691">
          <cell r="J691">
            <v>5.7921635434412262E-2</v>
          </cell>
        </row>
        <row r="692">
          <cell r="J692">
            <v>1.5332197614991482E-2</v>
          </cell>
        </row>
        <row r="693">
          <cell r="J693">
            <v>0.15502555366269163</v>
          </cell>
        </row>
        <row r="781">
          <cell r="J781">
            <v>2.1689497716894972E-2</v>
          </cell>
        </row>
        <row r="782">
          <cell r="J782">
            <v>2.7397260273972601E-2</v>
          </cell>
        </row>
        <row r="783">
          <cell r="J783">
            <v>0.58561643835616428</v>
          </cell>
        </row>
        <row r="784">
          <cell r="J784">
            <v>0.13584474885844747</v>
          </cell>
        </row>
        <row r="785">
          <cell r="J785">
            <v>0.11415525114155249</v>
          </cell>
        </row>
        <row r="786">
          <cell r="J786">
            <v>4.3378995433789945E-2</v>
          </cell>
        </row>
        <row r="787">
          <cell r="J787">
            <v>6.3926940639269403E-2</v>
          </cell>
        </row>
        <row r="788">
          <cell r="J788">
            <v>7.9908675799086754E-3</v>
          </cell>
        </row>
      </sheetData>
      <sheetData sheetId="2">
        <row r="18">
          <cell r="C18">
            <v>0</v>
          </cell>
          <cell r="D18">
            <v>500</v>
          </cell>
          <cell r="E18">
            <v>2500</v>
          </cell>
          <cell r="Q18">
            <v>0</v>
          </cell>
          <cell r="R18">
            <v>0</v>
          </cell>
          <cell r="S18">
            <v>671500</v>
          </cell>
        </row>
        <row r="19">
          <cell r="C19">
            <v>32000</v>
          </cell>
          <cell r="D19">
            <v>26500</v>
          </cell>
          <cell r="E19">
            <v>87000</v>
          </cell>
          <cell r="Q19">
            <v>28500</v>
          </cell>
          <cell r="R19">
            <v>130500</v>
          </cell>
          <cell r="S19">
            <v>820500</v>
          </cell>
        </row>
        <row r="20">
          <cell r="C20">
            <v>0</v>
          </cell>
          <cell r="D20">
            <v>27500</v>
          </cell>
          <cell r="E20">
            <v>253000</v>
          </cell>
          <cell r="Q20">
            <v>46500</v>
          </cell>
          <cell r="R20">
            <v>215000</v>
          </cell>
          <cell r="S20">
            <v>1353500</v>
          </cell>
        </row>
        <row r="21">
          <cell r="C21">
            <v>38000</v>
          </cell>
          <cell r="D21">
            <v>176000</v>
          </cell>
          <cell r="E21">
            <v>221500</v>
          </cell>
          <cell r="Q21">
            <v>140000</v>
          </cell>
          <cell r="R21">
            <v>365500</v>
          </cell>
          <cell r="S21">
            <v>531000</v>
          </cell>
        </row>
        <row r="22">
          <cell r="C22">
            <v>1500</v>
          </cell>
          <cell r="D22">
            <v>16500</v>
          </cell>
          <cell r="E22">
            <v>29000</v>
          </cell>
          <cell r="Q22">
            <v>0</v>
          </cell>
          <cell r="R22">
            <v>1500</v>
          </cell>
          <cell r="S22">
            <v>3000</v>
          </cell>
        </row>
        <row r="24">
          <cell r="C24">
            <v>36000</v>
          </cell>
          <cell r="D24">
            <v>33000</v>
          </cell>
          <cell r="E24">
            <v>35000</v>
          </cell>
          <cell r="Q24">
            <v>279500</v>
          </cell>
          <cell r="R24">
            <v>775000</v>
          </cell>
          <cell r="S24">
            <v>810000</v>
          </cell>
        </row>
        <row r="25">
          <cell r="C25">
            <v>12500</v>
          </cell>
          <cell r="D25">
            <v>5000</v>
          </cell>
          <cell r="E25">
            <v>4000</v>
          </cell>
          <cell r="Q25">
            <v>17000</v>
          </cell>
          <cell r="R25">
            <v>54500</v>
          </cell>
          <cell r="S25">
            <v>42500</v>
          </cell>
        </row>
        <row r="26">
          <cell r="C26">
            <v>2500</v>
          </cell>
          <cell r="D26">
            <v>1000</v>
          </cell>
          <cell r="E26">
            <v>500</v>
          </cell>
          <cell r="Q26">
            <v>8500</v>
          </cell>
          <cell r="R26">
            <v>26500</v>
          </cell>
          <cell r="S26">
            <v>21000</v>
          </cell>
        </row>
        <row r="28">
          <cell r="C28">
            <v>799500</v>
          </cell>
          <cell r="D28">
            <v>429500</v>
          </cell>
          <cell r="E28">
            <v>0</v>
          </cell>
          <cell r="Q28">
            <v>84500</v>
          </cell>
          <cell r="R28">
            <v>98000</v>
          </cell>
          <cell r="S28">
            <v>0</v>
          </cell>
        </row>
        <row r="29">
          <cell r="C29">
            <v>362500</v>
          </cell>
          <cell r="D29">
            <v>92000</v>
          </cell>
          <cell r="E29">
            <v>16500</v>
          </cell>
          <cell r="Q29">
            <v>596000</v>
          </cell>
          <cell r="R29">
            <v>216500</v>
          </cell>
          <cell r="S29">
            <v>31500</v>
          </cell>
        </row>
        <row r="30">
          <cell r="C30">
            <v>34000</v>
          </cell>
          <cell r="D30">
            <v>271499.66085118824</v>
          </cell>
          <cell r="E30">
            <v>157000</v>
          </cell>
          <cell r="Q30">
            <v>4500</v>
          </cell>
          <cell r="R30">
            <v>58500</v>
          </cell>
          <cell r="S30">
            <v>89500</v>
          </cell>
        </row>
        <row r="31">
          <cell r="C31">
            <v>7000</v>
          </cell>
          <cell r="D31">
            <v>38000</v>
          </cell>
          <cell r="E31">
            <v>0</v>
          </cell>
          <cell r="Q31">
            <v>0</v>
          </cell>
          <cell r="R31">
            <v>478500</v>
          </cell>
          <cell r="S31">
            <v>0</v>
          </cell>
        </row>
        <row r="32">
          <cell r="C32">
            <v>0</v>
          </cell>
          <cell r="D32">
            <v>6500</v>
          </cell>
          <cell r="E32">
            <v>0</v>
          </cell>
          <cell r="Q32">
            <v>437000</v>
          </cell>
          <cell r="R32">
            <v>0</v>
          </cell>
          <cell r="S32">
            <v>0</v>
          </cell>
        </row>
        <row r="34">
          <cell r="C34">
            <v>16500</v>
          </cell>
          <cell r="D34">
            <v>58500</v>
          </cell>
          <cell r="E34">
            <v>3500</v>
          </cell>
          <cell r="Q34">
            <v>180000</v>
          </cell>
          <cell r="R34">
            <v>231000</v>
          </cell>
          <cell r="S34">
            <v>0</v>
          </cell>
        </row>
        <row r="35">
          <cell r="C35">
            <v>2000</v>
          </cell>
          <cell r="D35">
            <v>0</v>
          </cell>
          <cell r="E35">
            <v>0</v>
          </cell>
          <cell r="Q35">
            <v>4000</v>
          </cell>
          <cell r="R35">
            <v>0</v>
          </cell>
          <cell r="S35">
            <v>0</v>
          </cell>
        </row>
        <row r="36">
          <cell r="C36">
            <v>16000</v>
          </cell>
          <cell r="D36">
            <v>36500</v>
          </cell>
          <cell r="E36">
            <v>2000</v>
          </cell>
          <cell r="Q36">
            <v>231000</v>
          </cell>
          <cell r="R36">
            <v>143000</v>
          </cell>
          <cell r="S36">
            <v>0</v>
          </cell>
        </row>
        <row r="37">
          <cell r="C37">
            <v>9000</v>
          </cell>
          <cell r="D37">
            <v>97500</v>
          </cell>
          <cell r="E37">
            <v>5500</v>
          </cell>
          <cell r="Q37">
            <v>2000</v>
          </cell>
          <cell r="R37">
            <v>101000</v>
          </cell>
          <cell r="S37">
            <v>0</v>
          </cell>
        </row>
        <row r="39">
          <cell r="C39">
            <v>21000</v>
          </cell>
          <cell r="D39">
            <v>14000</v>
          </cell>
          <cell r="E39">
            <v>1000</v>
          </cell>
          <cell r="Q39">
            <v>21000</v>
          </cell>
          <cell r="R39">
            <v>13500</v>
          </cell>
          <cell r="S39">
            <v>0</v>
          </cell>
        </row>
        <row r="40">
          <cell r="C40">
            <v>20000</v>
          </cell>
          <cell r="D40">
            <v>113500</v>
          </cell>
          <cell r="E40">
            <v>6500</v>
          </cell>
          <cell r="Q40">
            <v>20000</v>
          </cell>
          <cell r="R40">
            <v>12500</v>
          </cell>
          <cell r="S40">
            <v>0</v>
          </cell>
        </row>
        <row r="41">
          <cell r="C41">
            <v>3000</v>
          </cell>
          <cell r="D41">
            <v>21500</v>
          </cell>
          <cell r="E41">
            <v>1000</v>
          </cell>
          <cell r="Q41">
            <v>1000</v>
          </cell>
          <cell r="R41">
            <v>500</v>
          </cell>
          <cell r="S41">
            <v>0</v>
          </cell>
        </row>
        <row r="45">
          <cell r="C45">
            <v>179500</v>
          </cell>
          <cell r="D45">
            <v>218500</v>
          </cell>
          <cell r="E45">
            <v>12000</v>
          </cell>
          <cell r="Q45">
            <v>2500</v>
          </cell>
          <cell r="R45">
            <v>1500</v>
          </cell>
          <cell r="S45">
            <v>0</v>
          </cell>
        </row>
        <row r="47">
          <cell r="C47">
            <v>76000</v>
          </cell>
          <cell r="D47">
            <v>36500</v>
          </cell>
          <cell r="E47">
            <v>3000</v>
          </cell>
          <cell r="Q47">
            <v>195000</v>
          </cell>
          <cell r="R47">
            <v>94500</v>
          </cell>
          <cell r="S47">
            <v>10000</v>
          </cell>
        </row>
        <row r="48">
          <cell r="C48">
            <v>85000</v>
          </cell>
          <cell r="D48">
            <v>78500</v>
          </cell>
          <cell r="E48">
            <v>9500</v>
          </cell>
          <cell r="Q48">
            <v>16500</v>
          </cell>
          <cell r="R48">
            <v>21500</v>
          </cell>
          <cell r="S48">
            <v>0</v>
          </cell>
        </row>
        <row r="49">
          <cell r="C49">
            <v>9000</v>
          </cell>
          <cell r="D49">
            <v>23500</v>
          </cell>
          <cell r="E49">
            <v>0</v>
          </cell>
          <cell r="Q49">
            <v>500</v>
          </cell>
          <cell r="R49">
            <v>51000</v>
          </cell>
          <cell r="S49">
            <v>0</v>
          </cell>
        </row>
        <row r="51">
          <cell r="C51">
            <v>3000</v>
          </cell>
          <cell r="D51">
            <v>11500</v>
          </cell>
          <cell r="E51">
            <v>0</v>
          </cell>
        </row>
        <row r="52">
          <cell r="C52">
            <v>0</v>
          </cell>
          <cell r="D52">
            <v>500</v>
          </cell>
          <cell r="E52">
            <v>504000</v>
          </cell>
          <cell r="Q52">
            <v>0</v>
          </cell>
          <cell r="R52">
            <v>0</v>
          </cell>
          <cell r="S52">
            <v>0</v>
          </cell>
        </row>
        <row r="53">
          <cell r="C53">
            <v>95500</v>
          </cell>
          <cell r="D53">
            <v>148000</v>
          </cell>
          <cell r="E53">
            <v>26000</v>
          </cell>
          <cell r="Q53">
            <v>0</v>
          </cell>
          <cell r="R53">
            <v>0</v>
          </cell>
          <cell r="S53">
            <v>0</v>
          </cell>
        </row>
        <row r="54">
          <cell r="C54">
            <v>1000</v>
          </cell>
          <cell r="D54">
            <v>6500</v>
          </cell>
          <cell r="E54">
            <v>191500</v>
          </cell>
          <cell r="Q54">
            <v>0</v>
          </cell>
          <cell r="R54">
            <v>0</v>
          </cell>
          <cell r="S54">
            <v>0</v>
          </cell>
        </row>
        <row r="58">
          <cell r="C58">
            <v>436000</v>
          </cell>
          <cell r="D58">
            <v>383000</v>
          </cell>
          <cell r="E58">
            <v>177500</v>
          </cell>
          <cell r="Q58">
            <v>141500</v>
          </cell>
          <cell r="R58">
            <v>9500</v>
          </cell>
          <cell r="S58">
            <v>772000</v>
          </cell>
        </row>
        <row r="87">
          <cell r="E87">
            <v>2384500</v>
          </cell>
          <cell r="F87">
            <v>1863500</v>
          </cell>
        </row>
        <row r="88">
          <cell r="E88">
            <v>2408000</v>
          </cell>
          <cell r="F88">
            <v>1482500</v>
          </cell>
        </row>
        <row r="93">
          <cell r="E93">
            <v>2588500</v>
          </cell>
          <cell r="F93">
            <v>2836500</v>
          </cell>
        </row>
        <row r="94">
          <cell r="E94">
            <v>2921000</v>
          </cell>
          <cell r="F94">
            <v>2297000</v>
          </cell>
        </row>
        <row r="99">
          <cell r="E99">
            <v>1759500</v>
          </cell>
          <cell r="F99">
            <v>4829000</v>
          </cell>
        </row>
        <row r="100">
          <cell r="E100">
            <v>2035500</v>
          </cell>
          <cell r="F100">
            <v>4215500</v>
          </cell>
        </row>
        <row r="106">
          <cell r="H106">
            <v>0.67536889897843344</v>
          </cell>
        </row>
        <row r="108">
          <cell r="H108">
            <v>0.29965947786606129</v>
          </cell>
        </row>
        <row r="110">
          <cell r="H110">
            <v>1.9296254256526674E-2</v>
          </cell>
        </row>
        <row r="111">
          <cell r="H111">
            <v>5.6753688989784326E-3</v>
          </cell>
        </row>
        <row r="118">
          <cell r="Z118">
            <v>8.9475758979135622E-2</v>
          </cell>
        </row>
        <row r="119">
          <cell r="Z119">
            <v>0.20866464594006437</v>
          </cell>
        </row>
        <row r="120">
          <cell r="Z120">
            <v>0.42237491738647109</v>
          </cell>
        </row>
        <row r="121">
          <cell r="Z121">
            <v>0.18366076843085735</v>
          </cell>
        </row>
        <row r="122">
          <cell r="Z122">
            <v>2.9152502925532909E-3</v>
          </cell>
        </row>
        <row r="123">
          <cell r="Z123">
            <v>5.3053792209914789E-2</v>
          </cell>
        </row>
        <row r="124">
          <cell r="Z124">
            <v>3.0722253083061604E-2</v>
          </cell>
        </row>
        <row r="125">
          <cell r="Z125">
            <v>7.5123757538873275E-3</v>
          </cell>
        </row>
        <row r="126">
          <cell r="Z126">
            <v>1.0252749128270377E-7</v>
          </cell>
        </row>
        <row r="128">
          <cell r="Z128">
            <v>1.6201353965633522E-3</v>
          </cell>
        </row>
        <row r="156">
          <cell r="L156">
            <v>0.34078024729253997</v>
          </cell>
        </row>
        <row r="157">
          <cell r="L157">
            <v>0.35360644943140362</v>
          </cell>
        </row>
      </sheetData>
      <sheetData sheetId="3">
        <row r="22">
          <cell r="L22">
            <v>3376</v>
          </cell>
        </row>
        <row r="23">
          <cell r="L23">
            <v>1574</v>
          </cell>
        </row>
        <row r="24">
          <cell r="L24">
            <v>248.4</v>
          </cell>
        </row>
        <row r="25">
          <cell r="L25">
            <v>106.7</v>
          </cell>
        </row>
        <row r="26">
          <cell r="L26">
            <v>122.4</v>
          </cell>
        </row>
        <row r="51">
          <cell r="AF51">
            <v>1640.6481332089115</v>
          </cell>
          <cell r="AG51">
            <v>290110.46881698351</v>
          </cell>
        </row>
        <row r="55">
          <cell r="Q55">
            <v>169</v>
          </cell>
          <cell r="Y55">
            <v>55.12</v>
          </cell>
        </row>
        <row r="56">
          <cell r="Q56">
            <v>66</v>
          </cell>
          <cell r="Y56">
            <v>309.39</v>
          </cell>
        </row>
        <row r="65">
          <cell r="Q65">
            <v>2357</v>
          </cell>
          <cell r="Y65">
            <v>72.319999999999993</v>
          </cell>
        </row>
        <row r="70">
          <cell r="Q70">
            <v>96</v>
          </cell>
        </row>
        <row r="71">
          <cell r="Q71">
            <v>59</v>
          </cell>
        </row>
        <row r="78">
          <cell r="Q78">
            <v>1221</v>
          </cell>
        </row>
        <row r="101">
          <cell r="L101">
            <v>43</v>
          </cell>
        </row>
        <row r="102">
          <cell r="L102">
            <v>14</v>
          </cell>
        </row>
        <row r="103">
          <cell r="L103">
            <v>43</v>
          </cell>
        </row>
      </sheetData>
      <sheetData sheetId="4">
        <row r="12">
          <cell r="C12">
            <v>1839000</v>
          </cell>
          <cell r="D12">
            <v>1716035</v>
          </cell>
          <cell r="E12">
            <v>1725543</v>
          </cell>
          <cell r="F12">
            <v>1698029</v>
          </cell>
          <cell r="H12">
            <v>1238000</v>
          </cell>
          <cell r="I12">
            <v>1216168</v>
          </cell>
          <cell r="J12">
            <v>1256435</v>
          </cell>
        </row>
        <row r="16">
          <cell r="H16">
            <v>813000</v>
          </cell>
          <cell r="I16">
            <v>809715</v>
          </cell>
          <cell r="J16">
            <v>818968</v>
          </cell>
          <cell r="K16">
            <v>676251</v>
          </cell>
        </row>
        <row r="17">
          <cell r="C17">
            <v>1362487</v>
          </cell>
          <cell r="D17">
            <v>1317985</v>
          </cell>
          <cell r="E17">
            <v>1150037</v>
          </cell>
          <cell r="F17">
            <v>1673099</v>
          </cell>
          <cell r="H17">
            <v>1283000</v>
          </cell>
          <cell r="I17">
            <v>1105234</v>
          </cell>
          <cell r="K17">
            <v>1109292</v>
          </cell>
        </row>
        <row r="18">
          <cell r="C18">
            <v>1229158</v>
          </cell>
          <cell r="D18">
            <v>1305863</v>
          </cell>
          <cell r="E18">
            <v>885794</v>
          </cell>
          <cell r="F18">
            <v>823521</v>
          </cell>
          <cell r="H18">
            <v>1115825</v>
          </cell>
          <cell r="I18">
            <v>881357</v>
          </cell>
          <cell r="J18">
            <v>1317595</v>
          </cell>
          <cell r="K18">
            <v>949298</v>
          </cell>
        </row>
        <row r="19">
          <cell r="C19">
            <v>536338</v>
          </cell>
          <cell r="D19">
            <v>501026</v>
          </cell>
          <cell r="E19">
            <v>228188</v>
          </cell>
          <cell r="F19">
            <v>216854</v>
          </cell>
        </row>
        <row r="22">
          <cell r="C22">
            <v>70558</v>
          </cell>
          <cell r="D22">
            <v>51251</v>
          </cell>
          <cell r="E22">
            <v>44543</v>
          </cell>
          <cell r="F22">
            <v>8743</v>
          </cell>
          <cell r="H22">
            <v>497496</v>
          </cell>
          <cell r="I22">
            <v>973852</v>
          </cell>
        </row>
        <row r="24">
          <cell r="H24">
            <v>33580</v>
          </cell>
          <cell r="I24">
            <v>31400</v>
          </cell>
        </row>
        <row r="27">
          <cell r="C27">
            <v>4914089</v>
          </cell>
          <cell r="D27">
            <v>4908337</v>
          </cell>
          <cell r="E27">
            <v>4888386</v>
          </cell>
          <cell r="F27">
            <v>4302838</v>
          </cell>
          <cell r="H27">
            <v>929571</v>
          </cell>
          <cell r="I27">
            <v>815432</v>
          </cell>
          <cell r="J27">
            <v>837822</v>
          </cell>
          <cell r="K27">
            <v>847160</v>
          </cell>
        </row>
        <row r="28">
          <cell r="C28">
            <v>4487413</v>
          </cell>
          <cell r="D28">
            <v>4524374</v>
          </cell>
          <cell r="E28">
            <v>4505120</v>
          </cell>
          <cell r="F28">
            <v>4768300</v>
          </cell>
          <cell r="H28">
            <v>0</v>
          </cell>
          <cell r="I28">
            <v>0</v>
          </cell>
          <cell r="J28">
            <v>64</v>
          </cell>
          <cell r="K28">
            <v>0</v>
          </cell>
        </row>
        <row r="47">
          <cell r="C47">
            <v>1067054</v>
          </cell>
          <cell r="E47">
            <v>1092837</v>
          </cell>
        </row>
        <row r="56">
          <cell r="O56">
            <v>25000</v>
          </cell>
        </row>
        <row r="101">
          <cell r="E101">
            <v>0.25316065371569535</v>
          </cell>
          <cell r="F101">
            <v>0.25155755285466247</v>
          </cell>
        </row>
        <row r="102">
          <cell r="E102">
            <v>0.19837598931030939</v>
          </cell>
          <cell r="F102">
            <v>0.19711980390154224</v>
          </cell>
        </row>
        <row r="103">
          <cell r="E103">
            <v>0.35820742111213894</v>
          </cell>
          <cell r="F103">
            <v>0.35593912777040138</v>
          </cell>
        </row>
        <row r="104">
          <cell r="E104">
            <v>0.15500051392743344</v>
          </cell>
          <cell r="F104">
            <v>0.15401899703809621</v>
          </cell>
        </row>
        <row r="105">
          <cell r="F105">
            <v>6.3323460320702683E-3</v>
          </cell>
        </row>
        <row r="106">
          <cell r="E106">
            <v>2.3846232911912835E-2</v>
          </cell>
          <cell r="F106">
            <v>2.3695230313553261E-2</v>
          </cell>
        </row>
        <row r="107">
          <cell r="E107">
            <v>1.1409189022510022E-2</v>
          </cell>
          <cell r="F107">
            <v>1.1336942089674191E-2</v>
          </cell>
        </row>
      </sheetData>
      <sheetData sheetId="5">
        <row r="23">
          <cell r="M23">
            <v>1114000</v>
          </cell>
          <cell r="N23">
            <v>1033000</v>
          </cell>
          <cell r="O23">
            <v>979000</v>
          </cell>
          <cell r="P23">
            <v>964000</v>
          </cell>
        </row>
        <row r="40">
          <cell r="M40">
            <v>83640</v>
          </cell>
          <cell r="N40">
            <v>101484</v>
          </cell>
          <cell r="O40">
            <v>131000</v>
          </cell>
          <cell r="P40">
            <v>145000</v>
          </cell>
        </row>
        <row r="41">
          <cell r="M41">
            <v>43962</v>
          </cell>
          <cell r="N41">
            <v>113993</v>
          </cell>
          <cell r="O41">
            <v>77000</v>
          </cell>
          <cell r="P41">
            <v>100000</v>
          </cell>
        </row>
        <row r="42">
          <cell r="M42">
            <v>793710</v>
          </cell>
          <cell r="N42">
            <v>984735</v>
          </cell>
          <cell r="O42">
            <v>790000</v>
          </cell>
          <cell r="P42">
            <v>860000</v>
          </cell>
        </row>
        <row r="43">
          <cell r="M43">
            <v>2000</v>
          </cell>
          <cell r="N43">
            <v>0</v>
          </cell>
          <cell r="O43">
            <v>11900</v>
          </cell>
          <cell r="P43">
            <v>31800</v>
          </cell>
        </row>
        <row r="44">
          <cell r="M44">
            <v>0</v>
          </cell>
          <cell r="N44">
            <v>0</v>
          </cell>
          <cell r="O44">
            <v>0</v>
          </cell>
          <cell r="P44">
            <v>300</v>
          </cell>
        </row>
        <row r="45">
          <cell r="M45">
            <v>323850</v>
          </cell>
          <cell r="N45">
            <v>271277</v>
          </cell>
          <cell r="O45">
            <v>334000</v>
          </cell>
          <cell r="P45">
            <v>391000</v>
          </cell>
        </row>
        <row r="46">
          <cell r="M46">
            <v>20845</v>
          </cell>
          <cell r="N46">
            <v>21895</v>
          </cell>
          <cell r="O46">
            <v>18200</v>
          </cell>
          <cell r="P46">
            <v>19400</v>
          </cell>
        </row>
        <row r="47">
          <cell r="M47">
            <v>24300</v>
          </cell>
          <cell r="N47">
            <v>18495</v>
          </cell>
          <cell r="O47">
            <v>23600</v>
          </cell>
          <cell r="P47">
            <v>31100</v>
          </cell>
        </row>
        <row r="48">
          <cell r="M48">
            <v>3981</v>
          </cell>
          <cell r="N48">
            <v>4820</v>
          </cell>
          <cell r="O48">
            <v>5800</v>
          </cell>
          <cell r="P48">
            <v>4400</v>
          </cell>
        </row>
        <row r="49">
          <cell r="M49">
            <v>209725</v>
          </cell>
          <cell r="N49">
            <v>203558</v>
          </cell>
          <cell r="O49">
            <v>220000</v>
          </cell>
          <cell r="P49">
            <v>230000</v>
          </cell>
        </row>
        <row r="50">
          <cell r="M50">
            <v>275385</v>
          </cell>
          <cell r="N50">
            <v>254866</v>
          </cell>
          <cell r="O50">
            <v>262000</v>
          </cell>
          <cell r="P50">
            <v>280000</v>
          </cell>
        </row>
        <row r="51">
          <cell r="S51">
            <v>82036</v>
          </cell>
          <cell r="T51">
            <v>40295</v>
          </cell>
          <cell r="U51">
            <v>142900</v>
          </cell>
          <cell r="V51">
            <v>370000</v>
          </cell>
        </row>
        <row r="52">
          <cell r="M52">
            <v>96436</v>
          </cell>
          <cell r="N52">
            <v>104128</v>
          </cell>
          <cell r="O52">
            <v>162000</v>
          </cell>
          <cell r="P52">
            <v>154000</v>
          </cell>
          <cell r="V52">
            <v>70000</v>
          </cell>
        </row>
        <row r="53">
          <cell r="M53">
            <v>1373</v>
          </cell>
          <cell r="N53">
            <v>1475</v>
          </cell>
          <cell r="O53">
            <v>3900</v>
          </cell>
          <cell r="P53">
            <v>3500</v>
          </cell>
        </row>
        <row r="54">
          <cell r="M54">
            <v>46722</v>
          </cell>
          <cell r="N54">
            <v>52583</v>
          </cell>
          <cell r="O54">
            <v>40000</v>
          </cell>
          <cell r="P54">
            <v>40200</v>
          </cell>
        </row>
        <row r="55">
          <cell r="M55">
            <v>30574</v>
          </cell>
          <cell r="N55">
            <v>45877</v>
          </cell>
          <cell r="O55">
            <v>16400</v>
          </cell>
          <cell r="P55">
            <v>13600</v>
          </cell>
        </row>
        <row r="56">
          <cell r="M56">
            <v>5704</v>
          </cell>
          <cell r="N56">
            <v>5200</v>
          </cell>
          <cell r="O56">
            <v>5500</v>
          </cell>
          <cell r="P56">
            <v>4100</v>
          </cell>
        </row>
        <row r="57">
          <cell r="M57">
            <v>2779</v>
          </cell>
          <cell r="N57">
            <v>2685</v>
          </cell>
          <cell r="O57">
            <v>4900</v>
          </cell>
          <cell r="P57">
            <v>4600</v>
          </cell>
        </row>
        <row r="58">
          <cell r="M58">
            <v>363</v>
          </cell>
          <cell r="N58">
            <v>408</v>
          </cell>
          <cell r="O58">
            <v>80</v>
          </cell>
          <cell r="P58">
            <v>170</v>
          </cell>
        </row>
        <row r="59">
          <cell r="M59">
            <v>5403</v>
          </cell>
          <cell r="N59">
            <v>2954</v>
          </cell>
          <cell r="O59">
            <v>4200</v>
          </cell>
          <cell r="P59">
            <v>4600</v>
          </cell>
        </row>
        <row r="60">
          <cell r="M60">
            <v>1542</v>
          </cell>
          <cell r="N60">
            <v>1529</v>
          </cell>
          <cell r="O60">
            <v>4000</v>
          </cell>
          <cell r="P60">
            <v>4000</v>
          </cell>
        </row>
        <row r="61">
          <cell r="M61">
            <v>167</v>
          </cell>
          <cell r="N61">
            <v>540</v>
          </cell>
          <cell r="O61">
            <v>200</v>
          </cell>
          <cell r="P61">
            <v>430</v>
          </cell>
        </row>
        <row r="62">
          <cell r="M62">
            <v>922</v>
          </cell>
          <cell r="N62">
            <v>462</v>
          </cell>
          <cell r="O62">
            <v>1600</v>
          </cell>
          <cell r="P62">
            <v>5800</v>
          </cell>
        </row>
        <row r="63">
          <cell r="M63">
            <v>50110</v>
          </cell>
          <cell r="N63">
            <v>61552</v>
          </cell>
          <cell r="O63">
            <v>57000</v>
          </cell>
          <cell r="P63">
            <v>58000</v>
          </cell>
        </row>
        <row r="64">
          <cell r="M64">
            <v>2348</v>
          </cell>
          <cell r="N64">
            <v>3052</v>
          </cell>
          <cell r="O64">
            <v>3900</v>
          </cell>
          <cell r="P64">
            <v>3900</v>
          </cell>
        </row>
        <row r="65">
          <cell r="M65">
            <v>1486</v>
          </cell>
          <cell r="N65">
            <v>10138</v>
          </cell>
          <cell r="O65">
            <v>15000</v>
          </cell>
          <cell r="P65">
            <v>17000</v>
          </cell>
        </row>
        <row r="66">
          <cell r="M66">
            <v>260913</v>
          </cell>
          <cell r="N66">
            <v>223000</v>
          </cell>
          <cell r="O66">
            <v>170000</v>
          </cell>
          <cell r="P66">
            <v>200000</v>
          </cell>
        </row>
        <row r="86">
          <cell r="L86">
            <v>0.15384615384615385</v>
          </cell>
          <cell r="M86">
            <v>0.41958041958041958</v>
          </cell>
          <cell r="N86">
            <v>0.42657342657342656</v>
          </cell>
        </row>
        <row r="94">
          <cell r="L94">
            <v>0.14529914529914531</v>
          </cell>
          <cell r="M94">
            <v>0.40598290598290598</v>
          </cell>
          <cell r="N94">
            <v>0.44871794871794873</v>
          </cell>
        </row>
        <row r="106">
          <cell r="L106">
            <v>0.17255564393941034</v>
          </cell>
          <cell r="M106">
            <v>0.24494288704586661</v>
          </cell>
          <cell r="N106">
            <v>0.58250146901472311</v>
          </cell>
        </row>
        <row r="118">
          <cell r="L118">
            <v>0.19424077144893079</v>
          </cell>
          <cell r="M118">
            <v>0.29003684665682949</v>
          </cell>
          <cell r="N118">
            <v>0.51572238189423969</v>
          </cell>
        </row>
        <row r="131">
          <cell r="I131">
            <v>36</v>
          </cell>
        </row>
        <row r="132">
          <cell r="I132">
            <v>19</v>
          </cell>
        </row>
        <row r="133">
          <cell r="I133">
            <v>45</v>
          </cell>
        </row>
        <row r="154">
          <cell r="M154">
            <v>0</v>
          </cell>
        </row>
        <row r="155">
          <cell r="M155">
            <v>55000</v>
          </cell>
        </row>
        <row r="156">
          <cell r="M156">
            <v>55000</v>
          </cell>
        </row>
        <row r="157">
          <cell r="M157">
            <v>55000</v>
          </cell>
        </row>
        <row r="161">
          <cell r="M161">
            <v>0.6</v>
          </cell>
        </row>
        <row r="162">
          <cell r="M162">
            <v>0.3</v>
          </cell>
        </row>
        <row r="163">
          <cell r="M163">
            <v>0.1</v>
          </cell>
        </row>
        <row r="225">
          <cell r="L225">
            <v>5.3518334985133816E-2</v>
          </cell>
          <cell r="M225">
            <v>0.27094240837696337</v>
          </cell>
        </row>
        <row r="226">
          <cell r="L226">
            <v>1.9876665565466363E-2</v>
          </cell>
          <cell r="M226">
            <v>2.0317875841436052E-2</v>
          </cell>
        </row>
        <row r="227">
          <cell r="L227">
            <v>0.53529346988217164</v>
          </cell>
          <cell r="M227">
            <v>0.30684367988032912</v>
          </cell>
        </row>
        <row r="228">
          <cell r="L228">
            <v>0.18621297213963223</v>
          </cell>
          <cell r="M228">
            <v>9.7232610321615568E-3</v>
          </cell>
        </row>
        <row r="229">
          <cell r="L229">
            <v>0.12162757405572075</v>
          </cell>
          <cell r="M229">
            <v>1.4334330590875095E-2</v>
          </cell>
        </row>
        <row r="230">
          <cell r="L230">
            <v>1.2223323422530562E-2</v>
          </cell>
          <cell r="M230">
            <v>1.4958863126402395E-3</v>
          </cell>
        </row>
        <row r="231">
          <cell r="L231">
            <v>7.1247659949344788E-2</v>
          </cell>
          <cell r="M231">
            <v>1.9072550486163051E-2</v>
          </cell>
        </row>
        <row r="232">
          <cell r="M232">
            <v>0.35714285714285721</v>
          </cell>
        </row>
        <row r="360">
          <cell r="I360">
            <v>2.7268504263838419E-2</v>
          </cell>
          <cell r="J360">
            <v>2.8134497356896455E-2</v>
          </cell>
          <cell r="K360">
            <v>2.8598616115704061E-2</v>
          </cell>
          <cell r="L360">
            <v>2.9085520226075974E-2</v>
          </cell>
        </row>
        <row r="361">
          <cell r="I361">
            <v>4.6059625191265968E-2</v>
          </cell>
          <cell r="J361">
            <v>4.6009950232476719E-2</v>
          </cell>
          <cell r="K361">
            <v>4.5983327525665425E-2</v>
          </cell>
          <cell r="L361">
            <v>4.5955397809122736E-2</v>
          </cell>
        </row>
        <row r="362">
          <cell r="I362">
            <v>0.45912317182332146</v>
          </cell>
          <cell r="J362">
            <v>0.45007436029461773</v>
          </cell>
          <cell r="K362">
            <v>0.44522475674806339</v>
          </cell>
          <cell r="L362">
            <v>0.44013706775536221</v>
          </cell>
        </row>
        <row r="363">
          <cell r="I363">
            <v>8.6013085014862545E-2</v>
          </cell>
          <cell r="J363">
            <v>8.3410969703584886E-2</v>
          </cell>
          <cell r="K363">
            <v>8.2016396769660257E-2</v>
          </cell>
          <cell r="L363">
            <v>8.055335895691193E-2</v>
          </cell>
        </row>
        <row r="364">
          <cell r="I364">
            <v>2.7415868092404264E-2</v>
          </cell>
          <cell r="J364">
            <v>2.7662368502180554E-2</v>
          </cell>
          <cell r="K364">
            <v>2.7794477482203647E-2</v>
          </cell>
          <cell r="L364">
            <v>2.7933072193513181E-2</v>
          </cell>
        </row>
        <row r="365">
          <cell r="I365">
            <v>5.6766332991791617E-2</v>
          </cell>
          <cell r="J365">
            <v>5.8787054226803692E-2</v>
          </cell>
          <cell r="K365">
            <v>5.9870035879899974E-2</v>
          </cell>
          <cell r="L365">
            <v>6.1006185213110929E-2</v>
          </cell>
        </row>
        <row r="366">
          <cell r="I366">
            <v>0</v>
          </cell>
          <cell r="J366">
            <v>0</v>
          </cell>
          <cell r="K366">
            <v>0</v>
          </cell>
          <cell r="L366">
            <v>0</v>
          </cell>
        </row>
        <row r="367">
          <cell r="I367">
            <v>0.13482450642606769</v>
          </cell>
          <cell r="J367">
            <v>0.13900221409734692</v>
          </cell>
          <cell r="K367">
            <v>0.14124120712696583</v>
          </cell>
          <cell r="L367">
            <v>0.14359012082314215</v>
          </cell>
        </row>
        <row r="368">
          <cell r="I368">
            <v>8.3349874550958963E-2</v>
          </cell>
          <cell r="J368">
            <v>8.5801238894162038E-2</v>
          </cell>
          <cell r="K368">
            <v>8.7115018629211685E-2</v>
          </cell>
          <cell r="L368">
            <v>8.8493296798278678E-2</v>
          </cell>
        </row>
        <row r="369">
          <cell r="I369">
            <v>3.6443521361391701E-2</v>
          </cell>
          <cell r="J369">
            <v>3.7223386832700212E-2</v>
          </cell>
          <cell r="K369">
            <v>3.7641346510995641E-2</v>
          </cell>
          <cell r="L369">
            <v>3.8079825416383148E-2</v>
          </cell>
        </row>
        <row r="370">
          <cell r="I370">
            <v>3.7524189437541294E-2</v>
          </cell>
          <cell r="J370">
            <v>3.8373324439235967E-2</v>
          </cell>
          <cell r="K370">
            <v>3.8828408303305778E-2</v>
          </cell>
          <cell r="L370">
            <v>3.9305833961662713E-2</v>
          </cell>
        </row>
        <row r="371">
          <cell r="I371">
            <v>0</v>
          </cell>
          <cell r="J371">
            <v>0</v>
          </cell>
          <cell r="K371">
            <v>0</v>
          </cell>
          <cell r="L371">
            <v>0</v>
          </cell>
        </row>
        <row r="372">
          <cell r="I372">
            <v>5.2113208465560694E-3</v>
          </cell>
          <cell r="J372">
            <v>5.5206354199948396E-3</v>
          </cell>
          <cell r="K372">
            <v>5.6864089083243623E-3</v>
          </cell>
          <cell r="L372">
            <v>5.8603208464362948E-3</v>
          </cell>
        </row>
      </sheetData>
      <sheetData sheetId="6">
        <row r="14">
          <cell r="F14">
            <v>47450</v>
          </cell>
          <cell r="G14">
            <v>27587</v>
          </cell>
        </row>
        <row r="16">
          <cell r="F16">
            <v>51493</v>
          </cell>
          <cell r="G16">
            <v>25446</v>
          </cell>
        </row>
        <row r="17">
          <cell r="F17">
            <v>96740</v>
          </cell>
          <cell r="G17">
            <v>40411</v>
          </cell>
        </row>
        <row r="18">
          <cell r="F18">
            <v>112945</v>
          </cell>
          <cell r="G18">
            <v>43931</v>
          </cell>
        </row>
        <row r="28">
          <cell r="E28">
            <v>286868</v>
          </cell>
          <cell r="F28">
            <v>145195</v>
          </cell>
          <cell r="G28">
            <v>13730</v>
          </cell>
        </row>
        <row r="30">
          <cell r="E30">
            <v>159370</v>
          </cell>
          <cell r="F30">
            <v>208558</v>
          </cell>
          <cell r="G30">
            <v>25446</v>
          </cell>
        </row>
        <row r="31">
          <cell r="E31">
            <v>158993</v>
          </cell>
          <cell r="F31">
            <v>200223</v>
          </cell>
          <cell r="G31">
            <v>27586</v>
          </cell>
        </row>
        <row r="32">
          <cell r="E32">
            <v>171412</v>
          </cell>
          <cell r="F32">
            <v>235356</v>
          </cell>
          <cell r="G32">
            <v>38785</v>
          </cell>
        </row>
        <row r="36">
          <cell r="E36">
            <v>19498</v>
          </cell>
          <cell r="G36">
            <v>24007</v>
          </cell>
          <cell r="H36">
            <v>22903</v>
          </cell>
          <cell r="I36">
            <v>23250</v>
          </cell>
        </row>
        <row r="37">
          <cell r="E37">
            <v>11250</v>
          </cell>
          <cell r="G37">
            <v>16318</v>
          </cell>
          <cell r="H37">
            <v>18190</v>
          </cell>
          <cell r="I37">
            <v>18599</v>
          </cell>
        </row>
        <row r="38">
          <cell r="E38">
            <v>10592</v>
          </cell>
          <cell r="G38">
            <v>7138</v>
          </cell>
          <cell r="H38">
            <v>8810</v>
          </cell>
          <cell r="I38">
            <v>14907</v>
          </cell>
        </row>
        <row r="40">
          <cell r="E40">
            <v>380</v>
          </cell>
          <cell r="G40">
            <v>321</v>
          </cell>
          <cell r="H40">
            <v>348</v>
          </cell>
          <cell r="I40">
            <v>634</v>
          </cell>
        </row>
        <row r="41">
          <cell r="E41">
            <v>920</v>
          </cell>
          <cell r="G41">
            <v>917</v>
          </cell>
          <cell r="H41">
            <v>914</v>
          </cell>
          <cell r="I41">
            <v>840</v>
          </cell>
        </row>
      </sheetData>
      <sheetData sheetId="7">
        <row r="13">
          <cell r="D13">
            <v>0.109</v>
          </cell>
          <cell r="E13">
            <v>0.188</v>
          </cell>
          <cell r="F13">
            <v>8.0000000000000002E-3</v>
          </cell>
          <cell r="K13">
            <v>0.10339613618357003</v>
          </cell>
          <cell r="L13">
            <v>0.15661861074705111</v>
          </cell>
          <cell r="M13">
            <v>4.8728813559322038E-3</v>
          </cell>
        </row>
        <row r="14">
          <cell r="D14">
            <v>0.36</v>
          </cell>
          <cell r="E14">
            <v>0.17100000000000001</v>
          </cell>
          <cell r="F14">
            <v>0</v>
          </cell>
          <cell r="K14">
            <v>0.34217392353667764</v>
          </cell>
          <cell r="L14">
            <v>0.23410878112712974</v>
          </cell>
          <cell r="M14">
            <v>0</v>
          </cell>
        </row>
        <row r="15">
          <cell r="D15">
            <v>7.3999999999999996E-2</v>
          </cell>
          <cell r="E15">
            <v>7.0000000000000007E-2</v>
          </cell>
          <cell r="F15">
            <v>2.7E-2</v>
          </cell>
          <cell r="K15">
            <v>7.5148563847437858E-2</v>
          </cell>
          <cell r="L15">
            <v>4.3414154652686762E-2</v>
          </cell>
          <cell r="M15">
            <v>2.478813559322034E-2</v>
          </cell>
        </row>
        <row r="16">
          <cell r="D16">
            <v>3.0000000000000001E-3</v>
          </cell>
          <cell r="E16">
            <v>0.13</v>
          </cell>
          <cell r="F16">
            <v>0.11799999999999999</v>
          </cell>
          <cell r="K16">
            <v>5.5487053020961772E-3</v>
          </cell>
          <cell r="L16">
            <v>0.10288335517693316</v>
          </cell>
          <cell r="M16">
            <v>9.9788135593220334E-2</v>
          </cell>
        </row>
        <row r="17">
          <cell r="D17">
            <v>2.7E-2</v>
          </cell>
          <cell r="E17">
            <v>6.5000000000000002E-2</v>
          </cell>
          <cell r="F17">
            <v>1.2999999999999999E-2</v>
          </cell>
          <cell r="K17">
            <v>2.7391498082650709E-2</v>
          </cell>
          <cell r="L17">
            <v>6.1598951507208385E-2</v>
          </cell>
          <cell r="M17">
            <v>9.1101694915254241E-3</v>
          </cell>
        </row>
        <row r="18">
          <cell r="D18">
            <v>0</v>
          </cell>
          <cell r="E18">
            <v>4.0000000000000001E-3</v>
          </cell>
          <cell r="F18">
            <v>0</v>
          </cell>
          <cell r="K18">
            <v>4.1101520756267981E-4</v>
          </cell>
          <cell r="L18">
            <v>9.2726081258191345E-2</v>
          </cell>
          <cell r="M18">
            <v>2.1186440677966101E-4</v>
          </cell>
        </row>
        <row r="19">
          <cell r="D19">
            <v>2.8000000000000001E-2</v>
          </cell>
          <cell r="E19">
            <v>0.02</v>
          </cell>
          <cell r="F19">
            <v>1E-3</v>
          </cell>
          <cell r="K19">
            <v>2.5829089053478006E-2</v>
          </cell>
          <cell r="L19">
            <v>1.6710353866317168E-2</v>
          </cell>
          <cell r="M19">
            <v>1.6949152542372881E-3</v>
          </cell>
        </row>
        <row r="20">
          <cell r="D20">
            <v>3.9E-2</v>
          </cell>
          <cell r="E20">
            <v>7.3999999999999996E-2</v>
          </cell>
          <cell r="F20">
            <v>1.2999999999999999E-2</v>
          </cell>
          <cell r="K20">
            <v>3.5122497845447548E-2</v>
          </cell>
          <cell r="L20">
            <v>3.7024901703800787E-2</v>
          </cell>
          <cell r="M20">
            <v>5.2966101694915252E-3</v>
          </cell>
        </row>
        <row r="21">
          <cell r="D21">
            <v>5.3999999999999999E-2</v>
          </cell>
          <cell r="E21">
            <v>8.7999999999999995E-2</v>
          </cell>
          <cell r="F21">
            <v>6.0000000000000001E-3</v>
          </cell>
          <cell r="K21">
            <v>5.0236777000391621E-2</v>
          </cell>
          <cell r="L21">
            <v>7.585190039318479E-2</v>
          </cell>
          <cell r="M21">
            <v>3.6016949152542373E-3</v>
          </cell>
        </row>
        <row r="22">
          <cell r="D22">
            <v>1.7000000000000001E-2</v>
          </cell>
          <cell r="E22">
            <v>2.1999999999999999E-2</v>
          </cell>
          <cell r="F22">
            <v>7.0000000000000001E-3</v>
          </cell>
          <cell r="K22">
            <v>1.765022995406168E-2</v>
          </cell>
          <cell r="L22">
            <v>2.2280471821756225E-2</v>
          </cell>
          <cell r="M22">
            <v>1.0381355932203389E-2</v>
          </cell>
        </row>
        <row r="24">
          <cell r="D24">
            <v>1.2999999999999999E-2</v>
          </cell>
          <cell r="E24">
            <v>0.11600000000000001</v>
          </cell>
          <cell r="F24">
            <v>0.8</v>
          </cell>
          <cell r="K24">
            <v>0.10511263568909864</v>
          </cell>
          <cell r="L24">
            <v>0.11484272608125819</v>
          </cell>
          <cell r="M24">
            <v>0.78792372881355932</v>
          </cell>
        </row>
        <row r="25">
          <cell r="D25">
            <v>0.27600000000000002</v>
          </cell>
          <cell r="E25">
            <v>5.1999999999999998E-2</v>
          </cell>
          <cell r="F25">
            <v>7.0000000000000001E-3</v>
          </cell>
          <cell r="K25">
            <v>0.21197892829752743</v>
          </cell>
          <cell r="L25">
            <v>4.1939711664482307E-2</v>
          </cell>
          <cell r="M25">
            <v>5.2330508474576272E-2</v>
          </cell>
        </row>
        <row r="31">
          <cell r="E31">
            <v>0.6</v>
          </cell>
          <cell r="F31">
            <v>0.4</v>
          </cell>
          <cell r="L31">
            <v>0.62</v>
          </cell>
          <cell r="M31">
            <v>0.38</v>
          </cell>
        </row>
        <row r="39">
          <cell r="D39">
            <v>765.94</v>
          </cell>
        </row>
        <row r="67">
          <cell r="B67">
            <v>1860110.3581000001</v>
          </cell>
          <cell r="C67">
            <v>2577115.3419499998</v>
          </cell>
        </row>
        <row r="68">
          <cell r="B68">
            <v>1752573.8914499998</v>
          </cell>
          <cell r="C68">
            <v>2485505.2861499996</v>
          </cell>
        </row>
        <row r="69">
          <cell r="B69">
            <v>1871459.1483499999</v>
          </cell>
          <cell r="C69">
            <v>2451698.5057999995</v>
          </cell>
        </row>
        <row r="70">
          <cell r="B70">
            <v>1865945.30305</v>
          </cell>
          <cell r="C70">
            <v>2531171.9632000001</v>
          </cell>
        </row>
        <row r="75">
          <cell r="D75" t="str">
            <v>WGRRA corresponding material type</v>
          </cell>
          <cell r="K75" t="str">
            <v>MSW</v>
          </cell>
          <cell r="L75" t="str">
            <v>C&amp;I</v>
          </cell>
          <cell r="M75" t="str">
            <v>C&amp;D</v>
          </cell>
        </row>
        <row r="76">
          <cell r="D76" t="str">
            <v>Asphalt</v>
          </cell>
          <cell r="K76">
            <v>64565</v>
          </cell>
          <cell r="L76">
            <v>7615</v>
          </cell>
          <cell r="M76">
            <v>117340</v>
          </cell>
        </row>
        <row r="77">
          <cell r="D77" t="str">
            <v>Bricks</v>
          </cell>
          <cell r="K77">
            <v>10468</v>
          </cell>
          <cell r="L77">
            <v>36814</v>
          </cell>
          <cell r="M77">
            <v>390562</v>
          </cell>
        </row>
        <row r="78">
          <cell r="D78" t="str">
            <v>Concrete</v>
          </cell>
          <cell r="K78">
            <v>51051</v>
          </cell>
          <cell r="L78">
            <v>100082</v>
          </cell>
          <cell r="M78">
            <v>1544175</v>
          </cell>
        </row>
        <row r="79">
          <cell r="D79" t="str">
            <v>Rubble (incl. non-haz. foundry sands)</v>
          </cell>
          <cell r="K79">
            <v>7285</v>
          </cell>
          <cell r="L79">
            <v>30082</v>
          </cell>
          <cell r="M79">
            <v>44067</v>
          </cell>
        </row>
        <row r="80">
          <cell r="D80" t="str">
            <v>Plasterboard &amp; cement sheeting</v>
          </cell>
          <cell r="K80">
            <v>1899</v>
          </cell>
          <cell r="L80">
            <v>20401</v>
          </cell>
          <cell r="M80">
            <v>0</v>
          </cell>
        </row>
        <row r="81">
          <cell r="D81" t="str">
            <v>No match to material type.</v>
          </cell>
        </row>
        <row r="82">
          <cell r="D82" t="str">
            <v>Rubble (incl. non-haz. foundry sands)</v>
          </cell>
          <cell r="K82">
            <v>366</v>
          </cell>
          <cell r="L82">
            <v>28150</v>
          </cell>
          <cell r="M82">
            <v>210559</v>
          </cell>
        </row>
        <row r="83">
          <cell r="D83" t="str">
            <v>Aluminium</v>
          </cell>
          <cell r="K83">
            <v>22784</v>
          </cell>
          <cell r="L83">
            <v>38867</v>
          </cell>
          <cell r="M83">
            <v>1356</v>
          </cell>
        </row>
        <row r="84">
          <cell r="D84" t="str">
            <v>Non-ferrous metals (ex. aluminium)</v>
          </cell>
          <cell r="K84">
            <v>694</v>
          </cell>
          <cell r="L84">
            <v>14568</v>
          </cell>
          <cell r="M84">
            <v>0</v>
          </cell>
        </row>
        <row r="85">
          <cell r="D85" t="str">
            <v>Steel</v>
          </cell>
          <cell r="K85">
            <v>16290</v>
          </cell>
          <cell r="L85">
            <v>60297</v>
          </cell>
          <cell r="M85">
            <v>43697</v>
          </cell>
        </row>
        <row r="86">
          <cell r="D86" t="str">
            <v>Non-ferrous metals (ex. aluminium)</v>
          </cell>
          <cell r="K86">
            <v>3452</v>
          </cell>
          <cell r="L86">
            <v>59579</v>
          </cell>
          <cell r="M86">
            <v>1820</v>
          </cell>
        </row>
        <row r="87">
          <cell r="D87" t="str">
            <v>Other &amp; mixed metals</v>
          </cell>
          <cell r="K87">
            <v>44</v>
          </cell>
          <cell r="L87">
            <v>702</v>
          </cell>
          <cell r="M87">
            <v>0</v>
          </cell>
        </row>
        <row r="88">
          <cell r="D88" t="str">
            <v>Steel</v>
          </cell>
          <cell r="K88">
            <v>156118</v>
          </cell>
          <cell r="L88">
            <v>773523</v>
          </cell>
          <cell r="M88">
            <v>67302</v>
          </cell>
        </row>
        <row r="89">
          <cell r="D89" t="str">
            <v>Food organics</v>
          </cell>
          <cell r="K89">
            <v>0</v>
          </cell>
          <cell r="L89">
            <v>35473</v>
          </cell>
          <cell r="M89">
            <v>0</v>
          </cell>
        </row>
        <row r="90">
          <cell r="D90" t="str">
            <v>Garden organics</v>
          </cell>
          <cell r="K90">
            <v>279123</v>
          </cell>
          <cell r="L90">
            <v>22962</v>
          </cell>
          <cell r="M90">
            <v>0</v>
          </cell>
        </row>
        <row r="91">
          <cell r="D91" t="str">
            <v>Other organics</v>
          </cell>
          <cell r="K91">
            <v>500</v>
          </cell>
          <cell r="L91">
            <v>76430</v>
          </cell>
          <cell r="M91">
            <v>0</v>
          </cell>
        </row>
        <row r="92">
          <cell r="D92" t="str">
            <v>Timber</v>
          </cell>
          <cell r="K92">
            <v>0</v>
          </cell>
          <cell r="L92">
            <v>143946</v>
          </cell>
          <cell r="M92">
            <v>0</v>
          </cell>
        </row>
        <row r="93">
          <cell r="D93" t="str">
            <v>Timber</v>
          </cell>
          <cell r="K93">
            <v>0</v>
          </cell>
          <cell r="L93">
            <v>40301</v>
          </cell>
          <cell r="M93">
            <v>16636</v>
          </cell>
        </row>
        <row r="94">
          <cell r="D94" t="str">
            <v>Timber</v>
          </cell>
          <cell r="K94">
            <v>4641</v>
          </cell>
          <cell r="L94">
            <v>123467</v>
          </cell>
          <cell r="M94">
            <v>10986</v>
          </cell>
        </row>
        <row r="95">
          <cell r="D95" t="str">
            <v>Glass</v>
          </cell>
          <cell r="K95">
            <v>169186</v>
          </cell>
          <cell r="L95">
            <v>18825</v>
          </cell>
          <cell r="M95">
            <v>0</v>
          </cell>
        </row>
        <row r="96">
          <cell r="D96" t="str">
            <v>Glass</v>
          </cell>
          <cell r="K96">
            <v>0</v>
          </cell>
          <cell r="L96">
            <v>0</v>
          </cell>
          <cell r="M96">
            <v>0</v>
          </cell>
        </row>
        <row r="97">
          <cell r="D97" t="str">
            <v>Glass</v>
          </cell>
          <cell r="K97">
            <v>703</v>
          </cell>
          <cell r="L97">
            <v>13355</v>
          </cell>
          <cell r="M97">
            <v>0</v>
          </cell>
        </row>
        <row r="98">
          <cell r="D98" t="str">
            <v>Cardboard</v>
          </cell>
          <cell r="K98">
            <v>83585</v>
          </cell>
          <cell r="L98">
            <v>364660.5</v>
          </cell>
          <cell r="M98">
            <v>0</v>
          </cell>
        </row>
        <row r="99">
          <cell r="D99" t="str">
            <v>Newsprint and magazines</v>
          </cell>
          <cell r="K99">
            <v>88290</v>
          </cell>
          <cell r="L99">
            <v>92605.5</v>
          </cell>
          <cell r="M99">
            <v>0</v>
          </cell>
        </row>
        <row r="100">
          <cell r="D100" t="str">
            <v>Split across all 4 paper types</v>
          </cell>
        </row>
        <row r="101">
          <cell r="D101" t="str">
            <v>Office paper</v>
          </cell>
          <cell r="K101">
            <v>58591</v>
          </cell>
          <cell r="L101">
            <v>73277.5</v>
          </cell>
          <cell r="M101">
            <v>0</v>
          </cell>
        </row>
        <row r="102">
          <cell r="D102" t="str">
            <v>Tyres &amp; other rubber</v>
          </cell>
          <cell r="K102">
            <v>59701</v>
          </cell>
          <cell r="L102">
            <v>1239.5</v>
          </cell>
          <cell r="M102">
            <v>0</v>
          </cell>
        </row>
        <row r="103">
          <cell r="D103" t="str">
            <v>Tyres &amp; other rubber</v>
          </cell>
          <cell r="K103">
            <v>0</v>
          </cell>
          <cell r="L103">
            <v>3581</v>
          </cell>
          <cell r="M103">
            <v>0</v>
          </cell>
        </row>
        <row r="104">
          <cell r="D104" t="str">
            <v>Leather &amp; textiles</v>
          </cell>
          <cell r="K104">
            <v>973</v>
          </cell>
          <cell r="L104">
            <v>25060</v>
          </cell>
          <cell r="M104">
            <v>0</v>
          </cell>
        </row>
        <row r="105">
          <cell r="D105" t="str">
            <v>Leather &amp; textiles</v>
          </cell>
          <cell r="K105" t="str">
            <v xml:space="preserve">             -  </v>
          </cell>
          <cell r="L105">
            <v>3671</v>
          </cell>
          <cell r="M105">
            <v>0</v>
          </cell>
        </row>
        <row r="106">
          <cell r="D106" t="str">
            <v>Leather &amp; textiles</v>
          </cell>
          <cell r="K106">
            <v>1470</v>
          </cell>
          <cell r="L106">
            <v>630</v>
          </cell>
          <cell r="M106">
            <v>0</v>
          </cell>
        </row>
        <row r="107">
          <cell r="D107" t="str">
            <v>Plastics</v>
          </cell>
          <cell r="K107">
            <v>0</v>
          </cell>
          <cell r="L107">
            <v>0</v>
          </cell>
          <cell r="M107">
            <v>0</v>
          </cell>
        </row>
        <row r="108">
          <cell r="D108" t="str">
            <v>Leather &amp; textiles</v>
          </cell>
          <cell r="K108">
            <v>1900</v>
          </cell>
          <cell r="L108">
            <v>0</v>
          </cell>
          <cell r="M108">
            <v>0</v>
          </cell>
        </row>
        <row r="113">
          <cell r="D113" t="str">
            <v>WGRRA corresponding material type</v>
          </cell>
          <cell r="K113" t="str">
            <v>MSW</v>
          </cell>
          <cell r="L113" t="str">
            <v>C&amp;I</v>
          </cell>
          <cell r="M113" t="str">
            <v>C&amp;D</v>
          </cell>
        </row>
        <row r="114">
          <cell r="D114" t="str">
            <v>Asphalt</v>
          </cell>
          <cell r="K114">
            <v>27631</v>
          </cell>
          <cell r="L114">
            <v>11747</v>
          </cell>
          <cell r="M114">
            <v>186424</v>
          </cell>
        </row>
        <row r="115">
          <cell r="D115" t="str">
            <v>Bricks</v>
          </cell>
          <cell r="K115">
            <v>5291</v>
          </cell>
          <cell r="L115">
            <v>7453</v>
          </cell>
          <cell r="M115">
            <v>228846</v>
          </cell>
        </row>
        <row r="116">
          <cell r="D116" t="str">
            <v>Concrete</v>
          </cell>
          <cell r="K116">
            <v>80816</v>
          </cell>
          <cell r="L116">
            <v>76527</v>
          </cell>
          <cell r="M116">
            <v>1581361</v>
          </cell>
        </row>
        <row r="117">
          <cell r="D117" t="str">
            <v>Rubble (incl. non-haz. foundry sands)</v>
          </cell>
          <cell r="K117">
            <v>0</v>
          </cell>
          <cell r="L117">
            <v>2780</v>
          </cell>
          <cell r="M117">
            <v>88525</v>
          </cell>
        </row>
        <row r="118">
          <cell r="D118" t="str">
            <v>Plasterboard &amp; cement sheeting</v>
          </cell>
          <cell r="K118">
            <v>32</v>
          </cell>
          <cell r="L118">
            <v>10824</v>
          </cell>
          <cell r="M118">
            <v>26403</v>
          </cell>
        </row>
        <row r="119">
          <cell r="D119" t="str">
            <v>No match to material type.</v>
          </cell>
        </row>
        <row r="120">
          <cell r="D120" t="str">
            <v>Rubble (incl. non-haz. foundry sands)</v>
          </cell>
          <cell r="K120">
            <v>0</v>
          </cell>
          <cell r="L120">
            <v>11230</v>
          </cell>
          <cell r="M120">
            <v>101624</v>
          </cell>
        </row>
        <row r="121">
          <cell r="D121" t="str">
            <v>Aluminium</v>
          </cell>
          <cell r="K121">
            <v>0</v>
          </cell>
          <cell r="L121">
            <v>32670</v>
          </cell>
          <cell r="M121">
            <v>0</v>
          </cell>
        </row>
        <row r="122">
          <cell r="D122" t="str">
            <v>Non-ferrous metals (ex. aluminium)</v>
          </cell>
          <cell r="K122">
            <v>0</v>
          </cell>
          <cell r="L122">
            <v>31622</v>
          </cell>
          <cell r="M122">
            <v>0</v>
          </cell>
        </row>
        <row r="123">
          <cell r="D123" t="str">
            <v>Steel</v>
          </cell>
          <cell r="K123">
            <v>7691</v>
          </cell>
          <cell r="L123">
            <v>60809</v>
          </cell>
          <cell r="M123">
            <v>0</v>
          </cell>
        </row>
        <row r="124">
          <cell r="D124" t="str">
            <v>Non-ferrous metals (ex. aluminium)</v>
          </cell>
          <cell r="K124">
            <v>11783</v>
          </cell>
          <cell r="L124">
            <v>37930</v>
          </cell>
          <cell r="M124">
            <v>18387</v>
          </cell>
        </row>
        <row r="125">
          <cell r="D125" t="str">
            <v>Other &amp; mixed metals</v>
          </cell>
          <cell r="K125">
            <v>236</v>
          </cell>
          <cell r="L125">
            <v>265</v>
          </cell>
          <cell r="M125">
            <v>0</v>
          </cell>
        </row>
        <row r="126">
          <cell r="D126" t="str">
            <v>Steel</v>
          </cell>
          <cell r="K126">
            <v>174372</v>
          </cell>
          <cell r="L126">
            <v>546261</v>
          </cell>
          <cell r="M126">
            <v>175405</v>
          </cell>
        </row>
        <row r="127">
          <cell r="D127" t="str">
            <v>Food organics</v>
          </cell>
          <cell r="K127">
            <v>0</v>
          </cell>
          <cell r="L127">
            <v>12546</v>
          </cell>
          <cell r="M127">
            <v>0</v>
          </cell>
        </row>
        <row r="128">
          <cell r="D128" t="str">
            <v>Garden organics</v>
          </cell>
          <cell r="K128">
            <v>314881</v>
          </cell>
          <cell r="L128">
            <v>6576</v>
          </cell>
          <cell r="M128">
            <v>5375</v>
          </cell>
        </row>
        <row r="129">
          <cell r="D129" t="str">
            <v>Other organics</v>
          </cell>
          <cell r="K129">
            <v>35081</v>
          </cell>
          <cell r="L129">
            <v>44283</v>
          </cell>
          <cell r="M129">
            <v>3000</v>
          </cell>
        </row>
        <row r="130">
          <cell r="D130" t="str">
            <v>Timber</v>
          </cell>
          <cell r="K130">
            <v>100</v>
          </cell>
          <cell r="L130">
            <v>154538</v>
          </cell>
          <cell r="M130">
            <v>0</v>
          </cell>
        </row>
        <row r="131">
          <cell r="D131" t="str">
            <v>Timber</v>
          </cell>
          <cell r="K131">
            <v>14064</v>
          </cell>
          <cell r="L131">
            <v>11587</v>
          </cell>
          <cell r="M131">
            <v>26127</v>
          </cell>
        </row>
        <row r="132">
          <cell r="D132" t="str">
            <v>Timber</v>
          </cell>
          <cell r="K132">
            <v>5003</v>
          </cell>
          <cell r="L132">
            <v>98851</v>
          </cell>
          <cell r="M132">
            <v>2383</v>
          </cell>
        </row>
        <row r="133">
          <cell r="D133" t="str">
            <v>Glass</v>
          </cell>
          <cell r="K133">
            <v>11439</v>
          </cell>
          <cell r="L133">
            <v>0</v>
          </cell>
          <cell r="M133">
            <v>0</v>
          </cell>
        </row>
        <row r="134">
          <cell r="D134" t="str">
            <v>Glass</v>
          </cell>
          <cell r="K134">
            <v>123037</v>
          </cell>
          <cell r="L134">
            <v>5306</v>
          </cell>
          <cell r="M134">
            <v>0</v>
          </cell>
        </row>
        <row r="135">
          <cell r="D135" t="str">
            <v>Glass</v>
          </cell>
          <cell r="K135">
            <v>0</v>
          </cell>
          <cell r="L135">
            <v>19251</v>
          </cell>
          <cell r="M135">
            <v>0</v>
          </cell>
        </row>
        <row r="136">
          <cell r="D136" t="str">
            <v>Cardboard</v>
          </cell>
          <cell r="K136">
            <v>28485.25</v>
          </cell>
          <cell r="L136">
            <v>463128.25</v>
          </cell>
          <cell r="M136">
            <v>0</v>
          </cell>
        </row>
        <row r="137">
          <cell r="D137" t="str">
            <v>Newsprint and magazines</v>
          </cell>
          <cell r="K137">
            <v>82691.25</v>
          </cell>
          <cell r="L137">
            <v>350950.25</v>
          </cell>
          <cell r="M137">
            <v>0</v>
          </cell>
        </row>
        <row r="138">
          <cell r="D138" t="str">
            <v>Split across all 4 paper types</v>
          </cell>
        </row>
        <row r="139">
          <cell r="D139" t="str">
            <v>Office paper</v>
          </cell>
          <cell r="K139">
            <v>14469.25</v>
          </cell>
          <cell r="L139">
            <v>8814.25</v>
          </cell>
          <cell r="M139">
            <v>0</v>
          </cell>
        </row>
        <row r="140">
          <cell r="D140" t="str">
            <v>Tyres &amp; other rubber</v>
          </cell>
          <cell r="K140">
            <v>158437.25</v>
          </cell>
          <cell r="L140">
            <v>24720.25</v>
          </cell>
          <cell r="M140">
            <v>0</v>
          </cell>
        </row>
        <row r="141">
          <cell r="D141" t="str">
            <v>Tyres &amp; other rubber</v>
          </cell>
          <cell r="K141">
            <v>0</v>
          </cell>
          <cell r="L141">
            <v>5488</v>
          </cell>
          <cell r="M141">
            <v>0</v>
          </cell>
        </row>
        <row r="142">
          <cell r="D142" t="str">
            <v>Leather &amp; textiles</v>
          </cell>
          <cell r="K142">
            <v>1391</v>
          </cell>
          <cell r="L142">
            <v>30023</v>
          </cell>
          <cell r="M142">
            <v>137</v>
          </cell>
        </row>
        <row r="143">
          <cell r="D143" t="str">
            <v>Leather &amp; textiles</v>
          </cell>
          <cell r="K143">
            <v>0</v>
          </cell>
          <cell r="L143">
            <v>915.8</v>
          </cell>
          <cell r="M143">
            <v>0</v>
          </cell>
        </row>
        <row r="144">
          <cell r="D144" t="str">
            <v>Leather &amp; textiles</v>
          </cell>
          <cell r="K144">
            <v>1958</v>
          </cell>
          <cell r="L144">
            <v>840</v>
          </cell>
          <cell r="M144">
            <v>0</v>
          </cell>
        </row>
        <row r="145">
          <cell r="D145" t="str">
            <v>Leather &amp; textiles</v>
          </cell>
          <cell r="K145">
            <v>0</v>
          </cell>
          <cell r="L145">
            <v>0</v>
          </cell>
          <cell r="M145">
            <v>0</v>
          </cell>
        </row>
        <row r="150">
          <cell r="D150" t="str">
            <v>WGRRA corresponding material type</v>
          </cell>
          <cell r="K150" t="str">
            <v>MSW</v>
          </cell>
          <cell r="L150" t="str">
            <v>C&amp;I</v>
          </cell>
          <cell r="M150" t="str">
            <v>C&amp;D</v>
          </cell>
        </row>
        <row r="151">
          <cell r="D151" t="str">
            <v>Asphalt</v>
          </cell>
          <cell r="K151">
            <v>12148.15</v>
          </cell>
          <cell r="L151">
            <v>41200.449999999997</v>
          </cell>
          <cell r="M151">
            <v>142956.4</v>
          </cell>
        </row>
        <row r="152">
          <cell r="D152" t="str">
            <v>Bricks</v>
          </cell>
          <cell r="K152">
            <v>4083</v>
          </cell>
          <cell r="L152">
            <v>44789</v>
          </cell>
          <cell r="M152">
            <v>469494</v>
          </cell>
        </row>
        <row r="153">
          <cell r="D153" t="str">
            <v>Concrete</v>
          </cell>
          <cell r="K153">
            <v>188152</v>
          </cell>
          <cell r="L153">
            <v>164578</v>
          </cell>
          <cell r="M153">
            <v>2086168.24</v>
          </cell>
        </row>
        <row r="154">
          <cell r="D154" t="str">
            <v>Rubble (incl. non-haz. foundry sands)</v>
          </cell>
          <cell r="K154">
            <v>0</v>
          </cell>
          <cell r="L154">
            <v>0</v>
          </cell>
          <cell r="M154">
            <v>81740.47</v>
          </cell>
        </row>
        <row r="155">
          <cell r="D155" t="str">
            <v>Plasterboard &amp; cement sheeting</v>
          </cell>
          <cell r="K155">
            <v>0</v>
          </cell>
          <cell r="L155">
            <v>5</v>
          </cell>
          <cell r="M155">
            <v>27200</v>
          </cell>
        </row>
        <row r="156">
          <cell r="D156" t="str">
            <v>No match to material type.</v>
          </cell>
        </row>
        <row r="157">
          <cell r="D157" t="str">
            <v>Rubble (incl. non-haz. foundry sands)</v>
          </cell>
          <cell r="K157">
            <v>2000</v>
          </cell>
          <cell r="L157">
            <v>14000</v>
          </cell>
          <cell r="M157">
            <v>92189.6</v>
          </cell>
        </row>
        <row r="158">
          <cell r="D158" t="str">
            <v>Aluminium</v>
          </cell>
          <cell r="K158">
            <v>5460.05</v>
          </cell>
          <cell r="L158">
            <v>60699.31</v>
          </cell>
          <cell r="M158">
            <v>0</v>
          </cell>
        </row>
        <row r="159">
          <cell r="D159" t="str">
            <v>Non-ferrous metals (ex. aluminium)</v>
          </cell>
          <cell r="K159">
            <v>5000</v>
          </cell>
          <cell r="L159">
            <v>32163.68</v>
          </cell>
          <cell r="M159">
            <v>0</v>
          </cell>
        </row>
        <row r="160">
          <cell r="D160" t="str">
            <v>Steel</v>
          </cell>
          <cell r="K160">
            <v>74379.59</v>
          </cell>
          <cell r="L160">
            <v>75021.2</v>
          </cell>
          <cell r="M160">
            <v>4063.21</v>
          </cell>
        </row>
        <row r="161">
          <cell r="D161" t="str">
            <v>Non-ferrous metals (ex. aluminium)</v>
          </cell>
          <cell r="K161">
            <v>10657.66</v>
          </cell>
          <cell r="L161">
            <v>49865.61</v>
          </cell>
          <cell r="M161">
            <v>14322.86</v>
          </cell>
        </row>
        <row r="162">
          <cell r="D162" t="str">
            <v>Other &amp; mixed metals</v>
          </cell>
          <cell r="K162">
            <v>1437.98</v>
          </cell>
          <cell r="L162">
            <v>4295.99</v>
          </cell>
          <cell r="M162">
            <v>43461.760000000002</v>
          </cell>
        </row>
        <row r="163">
          <cell r="D163" t="str">
            <v>Steel</v>
          </cell>
          <cell r="K163">
            <v>234430.92</v>
          </cell>
          <cell r="L163">
            <v>726597.57</v>
          </cell>
          <cell r="M163">
            <v>66831.539999999994</v>
          </cell>
        </row>
        <row r="164">
          <cell r="D164" t="str">
            <v>Food organics</v>
          </cell>
          <cell r="K164">
            <v>0</v>
          </cell>
          <cell r="L164">
            <v>31971</v>
          </cell>
          <cell r="M164">
            <v>0</v>
          </cell>
        </row>
        <row r="165">
          <cell r="D165" t="str">
            <v>Garden organics</v>
          </cell>
          <cell r="K165">
            <v>340432.41</v>
          </cell>
          <cell r="L165">
            <v>43673.29</v>
          </cell>
          <cell r="M165">
            <v>12.3</v>
          </cell>
        </row>
        <row r="166">
          <cell r="D166" t="str">
            <v>Other organics</v>
          </cell>
          <cell r="K166">
            <v>35305</v>
          </cell>
          <cell r="L166">
            <v>120358</v>
          </cell>
          <cell r="M166">
            <v>0</v>
          </cell>
        </row>
        <row r="167">
          <cell r="D167" t="str">
            <v>Timber</v>
          </cell>
          <cell r="K167">
            <v>0</v>
          </cell>
          <cell r="L167">
            <v>127819</v>
          </cell>
          <cell r="M167">
            <v>0</v>
          </cell>
        </row>
        <row r="168">
          <cell r="D168" t="str">
            <v>Timber</v>
          </cell>
          <cell r="K168">
            <v>30499.64</v>
          </cell>
          <cell r="L168">
            <v>73185.05</v>
          </cell>
          <cell r="M168">
            <v>14884.31</v>
          </cell>
        </row>
        <row r="169">
          <cell r="D169" t="str">
            <v>Timber</v>
          </cell>
          <cell r="K169">
            <v>0</v>
          </cell>
          <cell r="L169">
            <v>0</v>
          </cell>
          <cell r="M169">
            <v>45000</v>
          </cell>
        </row>
        <row r="170">
          <cell r="D170" t="str">
            <v>Glass</v>
          </cell>
          <cell r="K170">
            <v>0</v>
          </cell>
          <cell r="L170">
            <v>0</v>
          </cell>
          <cell r="M170">
            <v>0</v>
          </cell>
        </row>
        <row r="171">
          <cell r="D171" t="str">
            <v>Glass</v>
          </cell>
          <cell r="K171">
            <v>108747</v>
          </cell>
          <cell r="L171">
            <v>28302</v>
          </cell>
          <cell r="M171">
            <v>0</v>
          </cell>
        </row>
        <row r="172">
          <cell r="D172" t="str">
            <v>Glass</v>
          </cell>
          <cell r="K172">
            <v>0</v>
          </cell>
          <cell r="L172">
            <v>2950</v>
          </cell>
          <cell r="M172">
            <v>16118</v>
          </cell>
        </row>
        <row r="173">
          <cell r="D173" t="str">
            <v>Cardboard</v>
          </cell>
          <cell r="K173">
            <v>115073.17499999999</v>
          </cell>
          <cell r="L173">
            <v>242446.7175</v>
          </cell>
          <cell r="M173">
            <v>1.02</v>
          </cell>
        </row>
        <row r="174">
          <cell r="D174" t="str">
            <v>Newsprint and magazines</v>
          </cell>
          <cell r="K174">
            <v>106367.515</v>
          </cell>
          <cell r="L174">
            <v>169455.33749999999</v>
          </cell>
          <cell r="M174">
            <v>0</v>
          </cell>
        </row>
        <row r="175">
          <cell r="D175" t="str">
            <v>Split across all 4 paper types</v>
          </cell>
        </row>
        <row r="176">
          <cell r="D176" t="str">
            <v>Office paper</v>
          </cell>
          <cell r="K176">
            <v>96803.994999999995</v>
          </cell>
          <cell r="L176">
            <v>108632.61749999999</v>
          </cell>
          <cell r="M176">
            <v>0</v>
          </cell>
        </row>
        <row r="177">
          <cell r="D177" t="str">
            <v>Tyres &amp; other rubber</v>
          </cell>
          <cell r="K177">
            <v>52470.434999999998</v>
          </cell>
          <cell r="L177">
            <v>117202.61749999999</v>
          </cell>
          <cell r="M177">
            <v>0</v>
          </cell>
        </row>
        <row r="178">
          <cell r="D178" t="str">
            <v>Tyres &amp; other rubber</v>
          </cell>
          <cell r="K178">
            <v>2424</v>
          </cell>
          <cell r="L178">
            <v>32584</v>
          </cell>
          <cell r="M178">
            <v>742</v>
          </cell>
        </row>
        <row r="179">
          <cell r="D179" t="str">
            <v>Leather &amp; textiles</v>
          </cell>
          <cell r="K179">
            <v>1105.8</v>
          </cell>
          <cell r="L179">
            <v>0</v>
          </cell>
          <cell r="M179">
            <v>0</v>
          </cell>
        </row>
        <row r="180">
          <cell r="D180" t="str">
            <v>Leather &amp; textiles</v>
          </cell>
          <cell r="K180">
            <v>3392</v>
          </cell>
          <cell r="L180">
            <v>0</v>
          </cell>
          <cell r="M180">
            <v>0</v>
          </cell>
        </row>
        <row r="181">
          <cell r="D181" t="str">
            <v>Leather &amp; textiles</v>
          </cell>
          <cell r="K181">
            <v>0</v>
          </cell>
          <cell r="L181">
            <v>0</v>
          </cell>
          <cell r="M181">
            <v>0</v>
          </cell>
        </row>
        <row r="186">
          <cell r="D186" t="str">
            <v>WGRRA corresponding material type</v>
          </cell>
          <cell r="K186" t="str">
            <v>MSW</v>
          </cell>
          <cell r="L186" t="str">
            <v>C&amp;I</v>
          </cell>
          <cell r="M186" t="str">
            <v>C&amp;D</v>
          </cell>
        </row>
        <row r="187">
          <cell r="D187" t="str">
            <v>Asphalt</v>
          </cell>
          <cell r="K187">
            <v>3394</v>
          </cell>
          <cell r="L187">
            <v>6007</v>
          </cell>
          <cell r="M187">
            <v>214076</v>
          </cell>
        </row>
        <row r="188">
          <cell r="D188" t="str">
            <v>Bricks</v>
          </cell>
          <cell r="K188">
            <v>2216</v>
          </cell>
          <cell r="L188">
            <v>5408</v>
          </cell>
          <cell r="M188">
            <v>489649</v>
          </cell>
        </row>
        <row r="189">
          <cell r="D189" t="str">
            <v>Concrete</v>
          </cell>
          <cell r="K189">
            <v>171552</v>
          </cell>
          <cell r="L189">
            <v>6414</v>
          </cell>
          <cell r="M189">
            <v>1996940</v>
          </cell>
        </row>
        <row r="190">
          <cell r="D190" t="str">
            <v>Rubble (incl. non-haz. foundry sands)</v>
          </cell>
          <cell r="K190">
            <v>0</v>
          </cell>
          <cell r="L190">
            <v>0</v>
          </cell>
          <cell r="M190">
            <v>167100</v>
          </cell>
        </row>
        <row r="191">
          <cell r="D191" t="str">
            <v>Plasterboard &amp; cement sheeting</v>
          </cell>
          <cell r="K191">
            <v>234</v>
          </cell>
          <cell r="L191">
            <v>0</v>
          </cell>
          <cell r="M191">
            <v>32000</v>
          </cell>
        </row>
        <row r="192">
          <cell r="D192" t="str">
            <v>No match to material type.</v>
          </cell>
        </row>
        <row r="193">
          <cell r="D193" t="str">
            <v>Rubble (incl. non-haz. foundry sands)</v>
          </cell>
          <cell r="K193">
            <v>0</v>
          </cell>
          <cell r="L193">
            <v>0</v>
          </cell>
          <cell r="M193">
            <v>118061</v>
          </cell>
        </row>
        <row r="194">
          <cell r="D194" t="str">
            <v>Aluminium</v>
          </cell>
          <cell r="K194">
            <v>18567</v>
          </cell>
          <cell r="L194">
            <v>58148</v>
          </cell>
          <cell r="M194">
            <v>7109</v>
          </cell>
        </row>
        <row r="195">
          <cell r="D195" t="str">
            <v>Non-ferrous metals (ex. aluminium)</v>
          </cell>
          <cell r="K195">
            <v>2752</v>
          </cell>
          <cell r="L195">
            <v>25553</v>
          </cell>
          <cell r="M195">
            <v>0</v>
          </cell>
        </row>
        <row r="196">
          <cell r="D196" t="str">
            <v>Steel</v>
          </cell>
          <cell r="K196">
            <v>20400</v>
          </cell>
          <cell r="L196">
            <v>114800</v>
          </cell>
          <cell r="M196">
            <v>0</v>
          </cell>
        </row>
        <row r="197">
          <cell r="D197" t="str">
            <v>Non-ferrous metals (ex. aluminium)</v>
          </cell>
          <cell r="K197">
            <v>11664</v>
          </cell>
          <cell r="L197">
            <v>50627</v>
          </cell>
          <cell r="M197">
            <v>7548</v>
          </cell>
        </row>
        <row r="198">
          <cell r="D198" t="str">
            <v>Other &amp; mixed metals</v>
          </cell>
          <cell r="K198">
            <v>2000</v>
          </cell>
          <cell r="L198">
            <v>3083</v>
          </cell>
          <cell r="M198">
            <v>1000</v>
          </cell>
        </row>
        <row r="199">
          <cell r="D199" t="str">
            <v>Steel</v>
          </cell>
          <cell r="K199">
            <v>177502</v>
          </cell>
          <cell r="L199">
            <v>813738</v>
          </cell>
          <cell r="M199">
            <v>75505</v>
          </cell>
        </row>
        <row r="200">
          <cell r="D200" t="str">
            <v>Food organics</v>
          </cell>
          <cell r="K200">
            <v>0</v>
          </cell>
          <cell r="L200">
            <v>22368</v>
          </cell>
          <cell r="M200">
            <v>0</v>
          </cell>
        </row>
        <row r="201">
          <cell r="D201" t="str">
            <v>Garden organics</v>
          </cell>
          <cell r="K201">
            <v>503672</v>
          </cell>
          <cell r="L201">
            <v>66062</v>
          </cell>
          <cell r="M201">
            <v>0</v>
          </cell>
        </row>
        <row r="202">
          <cell r="D202" t="str">
            <v>Other organics</v>
          </cell>
          <cell r="K202">
            <v>12878</v>
          </cell>
          <cell r="L202">
            <v>87513</v>
          </cell>
          <cell r="M202">
            <v>2763</v>
          </cell>
        </row>
        <row r="203">
          <cell r="D203" t="str">
            <v>Timber</v>
          </cell>
          <cell r="K203">
            <v>0</v>
          </cell>
          <cell r="L203">
            <v>126355</v>
          </cell>
          <cell r="M203">
            <v>0</v>
          </cell>
        </row>
        <row r="204">
          <cell r="D204" t="str">
            <v>Timber</v>
          </cell>
          <cell r="K204">
            <v>15000</v>
          </cell>
          <cell r="L204">
            <v>46447</v>
          </cell>
          <cell r="M204">
            <v>25932</v>
          </cell>
        </row>
        <row r="205">
          <cell r="D205" t="str">
            <v>Timber</v>
          </cell>
          <cell r="K205">
            <v>1100</v>
          </cell>
          <cell r="L205">
            <v>18720</v>
          </cell>
          <cell r="M205">
            <v>0</v>
          </cell>
        </row>
        <row r="206">
          <cell r="D206" t="str">
            <v>Glass</v>
          </cell>
          <cell r="K206">
            <v>0</v>
          </cell>
          <cell r="L206">
            <v>0</v>
          </cell>
          <cell r="M206">
            <v>0</v>
          </cell>
        </row>
        <row r="207">
          <cell r="D207" t="str">
            <v>Glass</v>
          </cell>
          <cell r="K207">
            <v>113450</v>
          </cell>
          <cell r="L207">
            <v>63548</v>
          </cell>
          <cell r="M207">
            <v>0</v>
          </cell>
        </row>
        <row r="208">
          <cell r="D208" t="str">
            <v>Glass</v>
          </cell>
          <cell r="K208">
            <v>2518</v>
          </cell>
          <cell r="L208">
            <v>16029</v>
          </cell>
          <cell r="M208">
            <v>0</v>
          </cell>
        </row>
        <row r="209">
          <cell r="D209" t="str">
            <v>Cardboard</v>
          </cell>
          <cell r="K209">
            <v>91400</v>
          </cell>
          <cell r="L209">
            <v>321457</v>
          </cell>
          <cell r="M209">
            <v>0</v>
          </cell>
        </row>
        <row r="210">
          <cell r="D210" t="str">
            <v>Newsprint and magazines</v>
          </cell>
          <cell r="K210">
            <v>96133</v>
          </cell>
          <cell r="L210">
            <v>242631</v>
          </cell>
          <cell r="M210">
            <v>0</v>
          </cell>
        </row>
        <row r="211">
          <cell r="D211" t="str">
            <v>Split across all 4 paper types</v>
          </cell>
        </row>
        <row r="212">
          <cell r="D212" t="str">
            <v>Office paper</v>
          </cell>
          <cell r="K212">
            <v>63846</v>
          </cell>
          <cell r="L212">
            <v>195972</v>
          </cell>
          <cell r="M212">
            <v>0</v>
          </cell>
        </row>
        <row r="213">
          <cell r="D213" t="str">
            <v>Tyres &amp; other rubber</v>
          </cell>
          <cell r="K213">
            <v>63846</v>
          </cell>
          <cell r="L213">
            <v>154256</v>
          </cell>
          <cell r="M213">
            <v>0</v>
          </cell>
        </row>
        <row r="214">
          <cell r="D214" t="str">
            <v>Tyres &amp; other rubber</v>
          </cell>
          <cell r="K214">
            <v>2564</v>
          </cell>
          <cell r="L214">
            <v>34473</v>
          </cell>
          <cell r="M214">
            <v>785</v>
          </cell>
        </row>
        <row r="215">
          <cell r="D215" t="str">
            <v>Leather &amp; textiles</v>
          </cell>
          <cell r="K215">
            <v>0</v>
          </cell>
          <cell r="L215">
            <v>897</v>
          </cell>
          <cell r="M215">
            <v>0</v>
          </cell>
        </row>
        <row r="216">
          <cell r="D216" t="str">
            <v>Leather &amp; textiles</v>
          </cell>
          <cell r="K216">
            <v>3392</v>
          </cell>
          <cell r="L216">
            <v>0</v>
          </cell>
          <cell r="M216">
            <v>0</v>
          </cell>
        </row>
        <row r="217">
          <cell r="D217" t="str">
            <v>Leather &amp; textiles</v>
          </cell>
          <cell r="K217">
            <v>500</v>
          </cell>
          <cell r="L217">
            <v>0</v>
          </cell>
          <cell r="M217">
            <v>0</v>
          </cell>
        </row>
        <row r="287">
          <cell r="R287">
            <v>897</v>
          </cell>
          <cell r="S287">
            <v>0</v>
          </cell>
        </row>
        <row r="288">
          <cell r="M288">
            <v>1359</v>
          </cell>
        </row>
        <row r="308">
          <cell r="B308">
            <v>3472</v>
          </cell>
        </row>
        <row r="310">
          <cell r="B310">
            <v>2642</v>
          </cell>
        </row>
        <row r="354">
          <cell r="D354">
            <v>8480</v>
          </cell>
          <cell r="N354">
            <v>12793</v>
          </cell>
          <cell r="S354">
            <v>13264</v>
          </cell>
          <cell r="X354">
            <v>16503</v>
          </cell>
        </row>
      </sheetData>
      <sheetData sheetId="8">
        <row r="43">
          <cell r="L43">
            <v>1038127.6962832775</v>
          </cell>
          <cell r="M43">
            <v>1086613.3717712827</v>
          </cell>
          <cell r="N43">
            <v>1695926.1882969255</v>
          </cell>
        </row>
        <row r="44">
          <cell r="L44">
            <v>1383182.640756218</v>
          </cell>
          <cell r="M44">
            <v>1447784.0813116082</v>
          </cell>
          <cell r="N44">
            <v>2259621.5013379897</v>
          </cell>
        </row>
        <row r="45">
          <cell r="L45">
            <v>1098517.8129029258</v>
          </cell>
          <cell r="M45">
            <v>1149824.0042172461</v>
          </cell>
          <cell r="N45">
            <v>1794581.8552791688</v>
          </cell>
        </row>
        <row r="46">
          <cell r="L46">
            <v>1064353.1818181819</v>
          </cell>
          <cell r="M46">
            <v>1114063.7166233147</v>
          </cell>
          <cell r="N46">
            <v>1738769.1717552049</v>
          </cell>
        </row>
        <row r="62">
          <cell r="T62">
            <v>11368.970620414324</v>
          </cell>
          <cell r="U62">
            <v>24896</v>
          </cell>
          <cell r="V62">
            <v>54090</v>
          </cell>
          <cell r="W62">
            <v>78894</v>
          </cell>
        </row>
        <row r="63">
          <cell r="T63">
            <v>76890</v>
          </cell>
          <cell r="U63">
            <v>15684</v>
          </cell>
          <cell r="V63">
            <v>12050</v>
          </cell>
          <cell r="W63">
            <v>51126</v>
          </cell>
        </row>
        <row r="64">
          <cell r="T64">
            <v>90891.029379585671</v>
          </cell>
          <cell r="U64">
            <v>199035</v>
          </cell>
          <cell r="V64">
            <v>257501</v>
          </cell>
          <cell r="W64">
            <v>343074</v>
          </cell>
        </row>
        <row r="65">
          <cell r="T65">
            <v>214720</v>
          </cell>
          <cell r="U65">
            <v>180925</v>
          </cell>
          <cell r="V65">
            <v>112657</v>
          </cell>
          <cell r="W65">
            <v>291360</v>
          </cell>
        </row>
        <row r="68">
          <cell r="T68">
            <v>458460</v>
          </cell>
          <cell r="U68">
            <v>345144</v>
          </cell>
          <cell r="V68">
            <v>413774</v>
          </cell>
          <cell r="W68">
            <v>436641</v>
          </cell>
        </row>
        <row r="69">
          <cell r="T69">
            <v>15610</v>
          </cell>
          <cell r="U69">
            <v>17419</v>
          </cell>
          <cell r="V69">
            <v>18693</v>
          </cell>
          <cell r="W69">
            <v>16749</v>
          </cell>
        </row>
        <row r="70">
          <cell r="T70">
            <v>27230</v>
          </cell>
          <cell r="U70">
            <v>12621</v>
          </cell>
          <cell r="V70">
            <v>17826</v>
          </cell>
          <cell r="W70">
            <v>33680</v>
          </cell>
        </row>
        <row r="72">
          <cell r="T72">
            <v>320560</v>
          </cell>
          <cell r="U72">
            <v>7177</v>
          </cell>
          <cell r="V72">
            <v>7453</v>
          </cell>
          <cell r="W72">
            <v>14338</v>
          </cell>
        </row>
        <row r="73">
          <cell r="U73">
            <v>221125</v>
          </cell>
          <cell r="V73">
            <v>210965</v>
          </cell>
          <cell r="W73">
            <v>206649</v>
          </cell>
        </row>
        <row r="74">
          <cell r="U74">
            <v>16677</v>
          </cell>
          <cell r="V74">
            <v>45553</v>
          </cell>
          <cell r="W74">
            <v>50057</v>
          </cell>
        </row>
        <row r="75">
          <cell r="U75">
            <v>157943</v>
          </cell>
          <cell r="V75">
            <v>195571</v>
          </cell>
          <cell r="W75">
            <v>212673</v>
          </cell>
        </row>
        <row r="78">
          <cell r="T78">
            <v>120330</v>
          </cell>
          <cell r="U78">
            <v>121786</v>
          </cell>
          <cell r="V78">
            <v>304286</v>
          </cell>
          <cell r="W78">
            <v>146578</v>
          </cell>
        </row>
        <row r="79">
          <cell r="U79">
            <v>750</v>
          </cell>
          <cell r="V79">
            <v>750</v>
          </cell>
          <cell r="W79">
            <v>750</v>
          </cell>
        </row>
        <row r="80">
          <cell r="T80">
            <v>91230</v>
          </cell>
          <cell r="U80">
            <v>81576</v>
          </cell>
          <cell r="V80">
            <v>66349</v>
          </cell>
          <cell r="W80">
            <v>70130</v>
          </cell>
        </row>
        <row r="81">
          <cell r="T81">
            <v>14200</v>
          </cell>
          <cell r="U81">
            <v>26915</v>
          </cell>
          <cell r="V81">
            <v>82473</v>
          </cell>
          <cell r="W81">
            <v>27002</v>
          </cell>
        </row>
        <row r="83">
          <cell r="U83">
            <v>3751</v>
          </cell>
          <cell r="V83">
            <v>2842</v>
          </cell>
          <cell r="W83">
            <v>1808</v>
          </cell>
        </row>
        <row r="84">
          <cell r="U84">
            <v>6700</v>
          </cell>
          <cell r="V84">
            <v>5474</v>
          </cell>
          <cell r="W84">
            <v>6056</v>
          </cell>
        </row>
        <row r="85">
          <cell r="U85">
            <v>652</v>
          </cell>
          <cell r="V85">
            <v>476</v>
          </cell>
          <cell r="W85">
            <v>288</v>
          </cell>
        </row>
        <row r="87">
          <cell r="U87">
            <v>3685</v>
          </cell>
          <cell r="V87">
            <v>1498</v>
          </cell>
          <cell r="W87">
            <v>1968</v>
          </cell>
        </row>
        <row r="88">
          <cell r="U88">
            <v>2983</v>
          </cell>
          <cell r="V88">
            <v>2370</v>
          </cell>
          <cell r="W88">
            <v>1904</v>
          </cell>
        </row>
        <row r="89">
          <cell r="U89">
            <v>530</v>
          </cell>
          <cell r="V89">
            <v>430</v>
          </cell>
          <cell r="W89">
            <v>374</v>
          </cell>
        </row>
        <row r="90">
          <cell r="U90">
            <v>1117</v>
          </cell>
          <cell r="V90">
            <v>848</v>
          </cell>
          <cell r="W90">
            <v>1955</v>
          </cell>
        </row>
        <row r="92">
          <cell r="T92">
            <v>18130</v>
          </cell>
        </row>
        <row r="93">
          <cell r="T93">
            <v>20800</v>
          </cell>
          <cell r="U93">
            <v>26667</v>
          </cell>
          <cell r="V93">
            <v>27744</v>
          </cell>
          <cell r="W93">
            <v>26745</v>
          </cell>
        </row>
        <row r="94">
          <cell r="T94">
            <v>1550</v>
          </cell>
          <cell r="U94">
            <v>51361</v>
          </cell>
          <cell r="V94">
            <v>21179</v>
          </cell>
          <cell r="W94">
            <v>5326</v>
          </cell>
        </row>
        <row r="95">
          <cell r="T95">
            <v>5550</v>
          </cell>
          <cell r="U95">
            <v>2035</v>
          </cell>
          <cell r="V95">
            <v>15520</v>
          </cell>
          <cell r="W95">
            <v>16144</v>
          </cell>
        </row>
        <row r="111">
          <cell r="J111">
            <v>0.27272727272727276</v>
          </cell>
          <cell r="K111">
            <v>0.21212121212121213</v>
          </cell>
          <cell r="L111">
            <v>0.51515151515151514</v>
          </cell>
        </row>
        <row r="112">
          <cell r="J112">
            <v>0.21</v>
          </cell>
          <cell r="K112">
            <v>0.3</v>
          </cell>
          <cell r="L112">
            <v>0.49</v>
          </cell>
        </row>
        <row r="113">
          <cell r="J113">
            <v>0.312</v>
          </cell>
          <cell r="K113">
            <v>0.245</v>
          </cell>
          <cell r="L113">
            <v>0.443</v>
          </cell>
        </row>
        <row r="114">
          <cell r="J114">
            <v>0.24</v>
          </cell>
          <cell r="K114">
            <v>0.52</v>
          </cell>
          <cell r="L114">
            <v>0.24</v>
          </cell>
        </row>
        <row r="347">
          <cell r="J347">
            <v>5.5493895671476105E-2</v>
          </cell>
          <cell r="K347">
            <v>0.92845990063875106</v>
          </cell>
        </row>
        <row r="348">
          <cell r="J348">
            <v>4.6614872364039932E-2</v>
          </cell>
          <cell r="K348">
            <v>1.4762242725337122E-2</v>
          </cell>
        </row>
        <row r="349">
          <cell r="J349">
            <v>0.52164261931187539</v>
          </cell>
          <cell r="K349">
            <v>4.2583392476934004E-2</v>
          </cell>
        </row>
        <row r="350">
          <cell r="J350">
            <v>0.20088790233074355</v>
          </cell>
          <cell r="K350">
            <v>4.8261178140525203E-3</v>
          </cell>
        </row>
        <row r="351">
          <cell r="J351">
            <v>0.11653718091009983</v>
          </cell>
          <cell r="K351">
            <v>4.5422285308729608E-3</v>
          </cell>
        </row>
        <row r="352">
          <cell r="J352">
            <v>1.1098779134295222E-2</v>
          </cell>
          <cell r="K352">
            <v>5.6777856635912009E-4</v>
          </cell>
        </row>
        <row r="353">
          <cell r="J353">
            <v>4.4395116537180888E-2</v>
          </cell>
          <cell r="K353">
            <v>1.4194464158978001E-3</v>
          </cell>
        </row>
        <row r="354">
          <cell r="J354">
            <v>3.3296337402885668E-3</v>
          </cell>
          <cell r="K354">
            <v>2.8388928317956003E-3</v>
          </cell>
        </row>
        <row r="380">
          <cell r="F380">
            <v>7.0000000000000007E-2</v>
          </cell>
        </row>
        <row r="381">
          <cell r="F381">
            <v>0.02</v>
          </cell>
        </row>
        <row r="382">
          <cell r="F382">
            <v>0.6333333333333333</v>
          </cell>
        </row>
        <row r="383">
          <cell r="F383">
            <v>0.11</v>
          </cell>
        </row>
        <row r="384">
          <cell r="F384">
            <v>8.6666666666666656E-2</v>
          </cell>
        </row>
        <row r="385">
          <cell r="F385">
            <v>6.6666666666666666E-2</v>
          </cell>
        </row>
        <row r="386">
          <cell r="F386">
            <v>1.3333333333333332E-2</v>
          </cell>
        </row>
        <row r="387">
          <cell r="F387">
            <v>0</v>
          </cell>
        </row>
      </sheetData>
      <sheetData sheetId="9">
        <row r="9">
          <cell r="E9">
            <v>0</v>
          </cell>
          <cell r="F9">
            <v>0</v>
          </cell>
          <cell r="G9">
            <v>0</v>
          </cell>
        </row>
        <row r="10">
          <cell r="E10">
            <v>0</v>
          </cell>
          <cell r="F10">
            <v>0</v>
          </cell>
          <cell r="G10">
            <v>0</v>
          </cell>
        </row>
        <row r="11">
          <cell r="E11">
            <v>115.5</v>
          </cell>
          <cell r="F11">
            <v>0</v>
          </cell>
          <cell r="G11">
            <v>0</v>
          </cell>
        </row>
        <row r="12">
          <cell r="E12">
            <v>0</v>
          </cell>
          <cell r="F12">
            <v>0</v>
          </cell>
          <cell r="G12">
            <v>0</v>
          </cell>
        </row>
      </sheetData>
      <sheetData sheetId="10">
        <row r="9">
          <cell r="E9">
            <v>0</v>
          </cell>
          <cell r="G9">
            <v>0</v>
          </cell>
        </row>
        <row r="10">
          <cell r="E10">
            <v>17543.054728255738</v>
          </cell>
        </row>
        <row r="11">
          <cell r="E11">
            <v>38209.780023705345</v>
          </cell>
        </row>
        <row r="12">
          <cell r="E12">
            <v>41.043808647654096</v>
          </cell>
        </row>
      </sheetData>
      <sheetData sheetId="11">
        <row r="15">
          <cell r="T15">
            <v>42634</v>
          </cell>
        </row>
        <row r="20">
          <cell r="F20">
            <v>150439</v>
          </cell>
          <cell r="M20">
            <v>7313</v>
          </cell>
        </row>
        <row r="21">
          <cell r="F21">
            <v>48577</v>
          </cell>
        </row>
        <row r="25">
          <cell r="F25">
            <v>182276</v>
          </cell>
          <cell r="M25">
            <v>10630</v>
          </cell>
          <cell r="T25">
            <v>69879</v>
          </cell>
        </row>
        <row r="26">
          <cell r="F26">
            <v>67597</v>
          </cell>
        </row>
        <row r="30">
          <cell r="F30">
            <v>208050</v>
          </cell>
          <cell r="M30">
            <v>10265</v>
          </cell>
          <cell r="T30">
            <v>79293</v>
          </cell>
        </row>
        <row r="31">
          <cell r="F31">
            <v>87834</v>
          </cell>
        </row>
        <row r="35">
          <cell r="F35">
            <v>144419</v>
          </cell>
          <cell r="M35">
            <v>14561</v>
          </cell>
          <cell r="T35">
            <v>35679</v>
          </cell>
        </row>
        <row r="36">
          <cell r="F36">
            <v>101397</v>
          </cell>
        </row>
      </sheetData>
      <sheetData sheetId="12">
        <row r="21">
          <cell r="P21">
            <v>15531.41</v>
          </cell>
        </row>
        <row r="22">
          <cell r="P22">
            <v>9197.5</v>
          </cell>
        </row>
        <row r="23">
          <cell r="P23">
            <v>7591.58</v>
          </cell>
        </row>
        <row r="24">
          <cell r="P24">
            <v>13009.16</v>
          </cell>
        </row>
      </sheetData>
      <sheetData sheetId="13">
        <row r="11">
          <cell r="H11">
            <v>603021</v>
          </cell>
        </row>
        <row r="12">
          <cell r="E12">
            <v>42195</v>
          </cell>
        </row>
        <row r="14">
          <cell r="E14">
            <v>88572</v>
          </cell>
        </row>
        <row r="31">
          <cell r="E31">
            <v>18263</v>
          </cell>
          <cell r="F31">
            <v>13310</v>
          </cell>
          <cell r="G31">
            <v>11881</v>
          </cell>
        </row>
        <row r="32">
          <cell r="E32">
            <v>44053</v>
          </cell>
          <cell r="F32">
            <v>33803</v>
          </cell>
          <cell r="G32">
            <v>31860</v>
          </cell>
        </row>
        <row r="33">
          <cell r="E33">
            <v>31660</v>
          </cell>
          <cell r="F33">
            <v>51654</v>
          </cell>
          <cell r="G33">
            <v>40621</v>
          </cell>
        </row>
        <row r="34">
          <cell r="E34">
            <v>242347</v>
          </cell>
          <cell r="F34">
            <v>233523</v>
          </cell>
          <cell r="G34">
            <v>362479</v>
          </cell>
        </row>
        <row r="35">
          <cell r="E35">
            <v>17457</v>
          </cell>
          <cell r="F35">
            <v>13592</v>
          </cell>
          <cell r="G35">
            <v>14508</v>
          </cell>
        </row>
      </sheetData>
      <sheetData sheetId="14"/>
      <sheetData sheetId="15">
        <row r="10">
          <cell r="D10">
            <v>4.5233226507130138E-2</v>
          </cell>
          <cell r="E10">
            <v>4.0909791436263568E-2</v>
          </cell>
        </row>
        <row r="11">
          <cell r="D11">
            <v>3.0063720037143814E-2</v>
          </cell>
          <cell r="E11">
            <v>2.7190200909588035E-2</v>
          </cell>
        </row>
        <row r="12">
          <cell r="D12">
            <v>3.9064190766991422E-3</v>
          </cell>
          <cell r="E12">
            <v>3.5330398034995832E-3</v>
          </cell>
        </row>
        <row r="13">
          <cell r="D13">
            <v>6.5982632150676873E-6</v>
          </cell>
          <cell r="E13">
            <v>5.9675949034376137E-6</v>
          </cell>
        </row>
        <row r="14">
          <cell r="D14">
            <v>0.28362182722390061</v>
          </cell>
          <cell r="E14">
            <v>0.25651298159490749</v>
          </cell>
        </row>
        <row r="15">
          <cell r="D15">
            <v>1.0510435774682424E-2</v>
          </cell>
          <cell r="E15">
            <v>9.5058382664505118E-3</v>
          </cell>
        </row>
        <row r="16">
          <cell r="D16">
            <v>9.4193456620696642E-2</v>
          </cell>
          <cell r="E16">
            <v>8.5190355908084964E-2</v>
          </cell>
        </row>
        <row r="17">
          <cell r="D17">
            <v>8.317346179963668E-2</v>
          </cell>
          <cell r="E17">
            <v>7.5223662736480151E-2</v>
          </cell>
        </row>
        <row r="18">
          <cell r="D18">
            <v>0.15197543316681064</v>
          </cell>
          <cell r="E18">
            <v>0.13744947584736195</v>
          </cell>
        </row>
        <row r="19">
          <cell r="D19">
            <v>7.4580449998731216E-2</v>
          </cell>
          <cell r="E19">
            <v>6.7451979225710015E-2</v>
          </cell>
        </row>
        <row r="20">
          <cell r="D20">
            <v>4.9962499906196813E-2</v>
          </cell>
          <cell r="E20">
            <v>4.5187036358652413E-2</v>
          </cell>
        </row>
        <row r="21">
          <cell r="D21">
            <v>6.5404222402145287E-2</v>
          </cell>
          <cell r="E21">
            <v>5.9152824243059315E-2</v>
          </cell>
        </row>
        <row r="22">
          <cell r="D22">
            <v>6.972945358873478E-2</v>
          </cell>
          <cell r="E22">
            <v>6.3064645694246468E-2</v>
          </cell>
        </row>
        <row r="23">
          <cell r="D23">
            <v>4.1320043456209814E-3</v>
          </cell>
          <cell r="E23">
            <v>3.7370634165670956E-3</v>
          </cell>
        </row>
        <row r="24">
          <cell r="D24">
            <v>5.7967298406956663E-3</v>
          </cell>
          <cell r="E24">
            <v>5.2426728559335483E-3</v>
          </cell>
        </row>
        <row r="25">
          <cell r="D25">
            <v>2.0232549868990601E-2</v>
          </cell>
          <cell r="E25">
            <v>1.8298703393040842E-2</v>
          </cell>
        </row>
        <row r="26">
          <cell r="D26">
            <v>7.4775115789694644E-3</v>
          </cell>
          <cell r="E26">
            <v>6.7628038674107617E-3</v>
          </cell>
        </row>
        <row r="28">
          <cell r="E28">
            <v>9.5580956847839835E-2</v>
          </cell>
        </row>
        <row r="71">
          <cell r="B71" t="str">
            <v>Masonry materials</v>
          </cell>
          <cell r="D71">
            <v>5.4199030519996139E-2</v>
          </cell>
          <cell r="E71">
            <v>4.4432453160991925E-2</v>
          </cell>
        </row>
        <row r="72">
          <cell r="B72" t="str">
            <v>Steel</v>
          </cell>
          <cell r="D72">
            <v>0.1938057880030423</v>
          </cell>
          <cell r="E72">
            <v>0.15888229946469754</v>
          </cell>
        </row>
        <row r="73">
          <cell r="B73" t="str">
            <v>Aluminium</v>
          </cell>
          <cell r="D73">
            <v>2.1752632149671224E-2</v>
          </cell>
          <cell r="E73">
            <v>1.7832843131058696E-2</v>
          </cell>
        </row>
        <row r="74">
          <cell r="B74" t="str">
            <v>Non-ferrous metals (ex. aluminium)</v>
          </cell>
          <cell r="D74">
            <v>5.9651748718651052E-5</v>
          </cell>
          <cell r="E74">
            <v>4.8902600387563383E-5</v>
          </cell>
        </row>
        <row r="75">
          <cell r="B75" t="str">
            <v>Food organics</v>
          </cell>
          <cell r="E75">
            <v>8.2431637498955643E-2</v>
          </cell>
        </row>
        <row r="76">
          <cell r="B76" t="str">
            <v>Garden organics</v>
          </cell>
          <cell r="E76">
            <v>0</v>
          </cell>
        </row>
        <row r="77">
          <cell r="B77" t="str">
            <v>Timber</v>
          </cell>
          <cell r="E77">
            <v>5.4959139485626085E-2</v>
          </cell>
        </row>
        <row r="78">
          <cell r="B78" t="str">
            <v>Other organics</v>
          </cell>
          <cell r="E78">
            <v>4.280760046427215E-2</v>
          </cell>
        </row>
        <row r="79">
          <cell r="B79" t="str">
            <v>Cardboard</v>
          </cell>
          <cell r="D79">
            <v>0.44294440520203082</v>
          </cell>
          <cell r="E79">
            <v>0.36312654208457723</v>
          </cell>
        </row>
        <row r="80">
          <cell r="B80" t="str">
            <v>Office paper</v>
          </cell>
          <cell r="D80">
            <v>0.16931576253059158</v>
          </cell>
          <cell r="E80">
            <v>0.13880533684606355</v>
          </cell>
        </row>
        <row r="81">
          <cell r="B81" t="str">
            <v>Newsprint and magazines</v>
          </cell>
          <cell r="D81">
            <v>6.8126058472599546E-2</v>
          </cell>
          <cell r="E81">
            <v>5.5849853273851356E-2</v>
          </cell>
        </row>
        <row r="82">
          <cell r="B82" t="str">
            <v>Plastics</v>
          </cell>
        </row>
        <row r="83">
          <cell r="B83" t="str">
            <v>Glass</v>
          </cell>
          <cell r="D83">
            <v>4.0037458799904856E-2</v>
          </cell>
          <cell r="E83">
            <v>3.2822773686986668E-2</v>
          </cell>
        </row>
        <row r="84">
          <cell r="B84" t="str">
            <v>Leather &amp; textiles</v>
          </cell>
          <cell r="D84">
            <v>6.5746642004724208E-3</v>
          </cell>
          <cell r="E84">
            <v>5.3899203792762244E-3</v>
          </cell>
        </row>
        <row r="85">
          <cell r="B85" t="str">
            <v>Tyres &amp; other rubber</v>
          </cell>
          <cell r="D85">
            <v>3.1845483729719803E-3</v>
          </cell>
          <cell r="E85">
            <v>2.6106979232550418E-3</v>
          </cell>
        </row>
      </sheetData>
      <sheetData sheetId="16">
        <row r="16">
          <cell r="B16">
            <v>0.15</v>
          </cell>
          <cell r="D16">
            <v>0.126</v>
          </cell>
        </row>
        <row r="17">
          <cell r="B17">
            <v>0.4</v>
          </cell>
          <cell r="D17">
            <v>0.19600000000000001</v>
          </cell>
        </row>
        <row r="18">
          <cell r="B18">
            <v>0.2</v>
          </cell>
          <cell r="D18">
            <v>9.4E-2</v>
          </cell>
        </row>
        <row r="19">
          <cell r="B19">
            <v>0.43</v>
          </cell>
          <cell r="D19">
            <v>9.8900000000000002E-2</v>
          </cell>
        </row>
        <row r="21">
          <cell r="B21">
            <v>0.05</v>
          </cell>
          <cell r="D21">
            <v>2.5000000000000001E-2</v>
          </cell>
        </row>
        <row r="24">
          <cell r="B24">
            <v>0.24</v>
          </cell>
          <cell r="D24">
            <v>0.12</v>
          </cell>
        </row>
        <row r="25">
          <cell r="B25">
            <v>0.315</v>
          </cell>
          <cell r="D25">
            <v>0.1575</v>
          </cell>
        </row>
        <row r="60">
          <cell r="B60">
            <v>8902.0869913097577</v>
          </cell>
          <cell r="C60">
            <v>81388.559712803559</v>
          </cell>
          <cell r="F60">
            <v>22387.34007846376</v>
          </cell>
          <cell r="G60">
            <v>8651.4686558467056</v>
          </cell>
          <cell r="H60">
            <v>71893.20630602137</v>
          </cell>
          <cell r="I60">
            <v>45175.763213830433</v>
          </cell>
        </row>
        <row r="62">
          <cell r="B62">
            <v>7454.1881694436033</v>
          </cell>
          <cell r="C62">
            <v>97807.959502645987</v>
          </cell>
          <cell r="E62">
            <v>31469.067868676433</v>
          </cell>
          <cell r="F62">
            <v>17838.14243402849</v>
          </cell>
          <cell r="G62">
            <v>12885.342735329339</v>
          </cell>
          <cell r="H62">
            <v>71742.766463507985</v>
          </cell>
          <cell r="I62">
            <v>47352.146426569656</v>
          </cell>
        </row>
        <row r="63">
          <cell r="B63">
            <v>7242.9505200670646</v>
          </cell>
          <cell r="E63">
            <v>35466.363791197749</v>
          </cell>
          <cell r="F63">
            <v>17400.137011429935</v>
          </cell>
          <cell r="G63">
            <v>9080.1301077844291</v>
          </cell>
          <cell r="H63">
            <v>75974.371306038636</v>
          </cell>
          <cell r="I63">
            <v>35941.172179649759</v>
          </cell>
        </row>
        <row r="64">
          <cell r="B64">
            <v>7626.4261871021436</v>
          </cell>
          <cell r="C64">
            <v>100430.93202111615</v>
          </cell>
          <cell r="D64">
            <v>3043.0271808383227</v>
          </cell>
          <cell r="E64">
            <v>35466.363791197749</v>
          </cell>
          <cell r="F64">
            <v>17400.137011429935</v>
          </cell>
          <cell r="G64">
            <v>9080.1301077844291</v>
          </cell>
          <cell r="H64">
            <v>75974.371306038636</v>
          </cell>
          <cell r="I64">
            <v>35941.172179649759</v>
          </cell>
        </row>
        <row r="82">
          <cell r="B82">
            <v>0.24079999999999999</v>
          </cell>
          <cell r="C82">
            <v>0.19879999999999998</v>
          </cell>
          <cell r="D82">
            <v>0.18059999999999998</v>
          </cell>
          <cell r="E82">
            <v>0.18059999999999998</v>
          </cell>
          <cell r="F82">
            <v>0.16685</v>
          </cell>
          <cell r="G82">
            <v>0.27044999999999997</v>
          </cell>
          <cell r="I82">
            <v>0.12755</v>
          </cell>
        </row>
        <row r="84">
          <cell r="B84">
            <v>9.0749999999999997E-2</v>
          </cell>
          <cell r="C84">
            <v>7.3349999999999999E-2</v>
          </cell>
          <cell r="D84">
            <v>8.5150000000000003E-2</v>
          </cell>
          <cell r="E84">
            <v>8.5150000000000003E-2</v>
          </cell>
          <cell r="F84">
            <v>7.6000000000000012E-2</v>
          </cell>
          <cell r="G84">
            <v>0.10925</v>
          </cell>
          <cell r="I84">
            <v>6.1100000000000002E-2</v>
          </cell>
        </row>
        <row r="85">
          <cell r="B85">
            <v>6.5799999999999997E-2</v>
          </cell>
          <cell r="C85">
            <v>7.1800000000000003E-2</v>
          </cell>
          <cell r="D85">
            <v>4.7600000000000003E-2</v>
          </cell>
          <cell r="E85">
            <v>4.7600000000000003E-2</v>
          </cell>
          <cell r="F85">
            <v>5.4349999999999996E-2</v>
          </cell>
          <cell r="G85">
            <v>5.2949999999999997E-2</v>
          </cell>
          <cell r="I85">
            <v>5.8049999999999997E-2</v>
          </cell>
        </row>
        <row r="87">
          <cell r="B87">
            <v>6.2999999999999992E-3</v>
          </cell>
          <cell r="C87">
            <v>6.2999999999999992E-3</v>
          </cell>
          <cell r="D87">
            <v>2.1000000000000003E-3</v>
          </cell>
          <cell r="E87">
            <v>2.1000000000000003E-3</v>
          </cell>
          <cell r="F87">
            <v>2.8500000000000001E-3</v>
          </cell>
          <cell r="G87">
            <v>4.9500000000000004E-3</v>
          </cell>
          <cell r="I87">
            <v>2.5500000000000002E-3</v>
          </cell>
        </row>
        <row r="88">
          <cell r="B88">
            <v>1.72E-2</v>
          </cell>
          <cell r="C88">
            <v>1.24E-2</v>
          </cell>
          <cell r="D88">
            <v>1.72E-2</v>
          </cell>
          <cell r="E88">
            <v>1.72E-2</v>
          </cell>
          <cell r="F88">
            <v>1.44E-2</v>
          </cell>
          <cell r="G88">
            <v>2.2799999999999997E-2</v>
          </cell>
          <cell r="I88">
            <v>1.0400000000000001E-2</v>
          </cell>
        </row>
        <row r="93">
          <cell r="B93">
            <v>1.72E-2</v>
          </cell>
          <cell r="C93">
            <v>1.24E-2</v>
          </cell>
          <cell r="D93">
            <v>1.72E-2</v>
          </cell>
          <cell r="E93">
            <v>1.72E-2</v>
          </cell>
          <cell r="F93">
            <v>1.44E-2</v>
          </cell>
          <cell r="G93">
            <v>2.2799999999999997E-2</v>
          </cell>
          <cell r="I93">
            <v>1.0400000000000001E-2</v>
          </cell>
        </row>
        <row r="94">
          <cell r="C94">
            <v>3.9249999999999993E-2</v>
          </cell>
          <cell r="D94">
            <v>2.1250000000000002E-2</v>
          </cell>
        </row>
        <row r="133">
          <cell r="B133">
            <v>5.0071526702946893E-2</v>
          </cell>
          <cell r="C133">
            <v>0.55751805957202816</v>
          </cell>
        </row>
        <row r="134">
          <cell r="B134">
            <v>3.4898291222298296E-2</v>
          </cell>
          <cell r="C134">
            <v>3.4622307295731854E-2</v>
          </cell>
        </row>
        <row r="135">
          <cell r="B135">
            <v>0.56500000000000006</v>
          </cell>
          <cell r="C135">
            <v>0.08</v>
          </cell>
        </row>
        <row r="136">
          <cell r="B136">
            <v>0.13</v>
          </cell>
          <cell r="C136">
            <v>0.03</v>
          </cell>
        </row>
        <row r="137">
          <cell r="B137">
            <v>0.12934575831986023</v>
          </cell>
          <cell r="C137">
            <v>2.9665253460568822E-2</v>
          </cell>
        </row>
        <row r="138">
          <cell r="B138">
            <v>4.8326572879720156E-2</v>
          </cell>
          <cell r="C138">
            <v>6.3565080750760108E-3</v>
          </cell>
        </row>
        <row r="139">
          <cell r="B139">
            <v>2.5000000000000001E-2</v>
          </cell>
          <cell r="C139">
            <v>0</v>
          </cell>
        </row>
        <row r="140">
          <cell r="B140">
            <v>1.7357850875174295E-2</v>
          </cell>
          <cell r="C140">
            <v>0.26181552743480019</v>
          </cell>
        </row>
        <row r="144">
          <cell r="C144">
            <v>0.75527860089205912</v>
          </cell>
        </row>
        <row r="145">
          <cell r="C145">
            <v>4.6903391495602166E-2</v>
          </cell>
        </row>
        <row r="146">
          <cell r="C146">
            <v>0.10837727502091529</v>
          </cell>
        </row>
        <row r="147">
          <cell r="C147">
            <v>4.0641478132843231E-2</v>
          </cell>
        </row>
        <row r="148">
          <cell r="C148">
            <v>4.0187991660765331E-2</v>
          </cell>
        </row>
        <row r="149">
          <cell r="C149">
            <v>8.6112627978147706E-3</v>
          </cell>
        </row>
        <row r="150">
          <cell r="C150">
            <v>0</v>
          </cell>
        </row>
      </sheetData>
      <sheetData sheetId="17">
        <row r="191">
          <cell r="B191">
            <v>41256.447527141136</v>
          </cell>
          <cell r="C191">
            <v>239852.55247285886</v>
          </cell>
          <cell r="D191">
            <v>4159.7613697993338</v>
          </cell>
          <cell r="E191">
            <v>271084</v>
          </cell>
          <cell r="F191">
            <v>106222</v>
          </cell>
          <cell r="G191">
            <v>17985</v>
          </cell>
          <cell r="H191">
            <v>109014</v>
          </cell>
          <cell r="I191">
            <v>93904.238630200663</v>
          </cell>
        </row>
        <row r="192">
          <cell r="B192">
            <v>3351.4837153196622</v>
          </cell>
          <cell r="C192">
            <v>19484.516284680336</v>
          </cell>
          <cell r="D192">
            <v>500.41508483768496</v>
          </cell>
          <cell r="F192">
            <v>0</v>
          </cell>
          <cell r="G192">
            <v>13956</v>
          </cell>
          <cell r="H192">
            <v>0</v>
          </cell>
          <cell r="I192">
            <v>11296.584915162315</v>
          </cell>
        </row>
        <row r="194">
          <cell r="B194">
            <v>41256.447527141136</v>
          </cell>
          <cell r="F194">
            <v>5100</v>
          </cell>
          <cell r="G194">
            <v>17985</v>
          </cell>
          <cell r="H194">
            <v>27687</v>
          </cell>
          <cell r="I194">
            <v>26121</v>
          </cell>
        </row>
        <row r="195">
          <cell r="B195">
            <v>3351.4837153196622</v>
          </cell>
          <cell r="F195">
            <v>0</v>
          </cell>
          <cell r="G195">
            <v>13956</v>
          </cell>
          <cell r="H195">
            <v>0</v>
          </cell>
          <cell r="I195">
            <v>3142.3298764072442</v>
          </cell>
        </row>
        <row r="197">
          <cell r="B197">
            <v>41256.447527141136</v>
          </cell>
          <cell r="C197">
            <v>134100</v>
          </cell>
          <cell r="F197">
            <v>1371</v>
          </cell>
          <cell r="G197">
            <v>17985</v>
          </cell>
          <cell r="H197">
            <v>31070</v>
          </cell>
          <cell r="I197">
            <v>24869</v>
          </cell>
        </row>
        <row r="198">
          <cell r="B198">
            <v>3351.4837153196622</v>
          </cell>
          <cell r="C198">
            <v>10893.666157967193</v>
          </cell>
          <cell r="F198">
            <v>0</v>
          </cell>
          <cell r="G198">
            <v>13956</v>
          </cell>
          <cell r="H198">
            <v>0</v>
          </cell>
          <cell r="I198">
            <v>0</v>
          </cell>
        </row>
        <row r="200">
          <cell r="B200">
            <v>41256.447527141136</v>
          </cell>
          <cell r="C200">
            <v>195500</v>
          </cell>
          <cell r="F200">
            <v>600</v>
          </cell>
          <cell r="G200">
            <v>17985</v>
          </cell>
          <cell r="H200">
            <v>1800</v>
          </cell>
          <cell r="I200">
            <v>23083</v>
          </cell>
        </row>
        <row r="201">
          <cell r="B201">
            <v>3351.4837153196622</v>
          </cell>
          <cell r="C201">
            <v>15881.519268326518</v>
          </cell>
          <cell r="F201">
            <v>0</v>
          </cell>
          <cell r="G201">
            <v>13956</v>
          </cell>
          <cell r="H201">
            <v>0</v>
          </cell>
          <cell r="I201">
            <v>2776.8615496002612</v>
          </cell>
        </row>
      </sheetData>
      <sheetData sheetId="18">
        <row r="20">
          <cell r="N20">
            <v>75400</v>
          </cell>
          <cell r="O20">
            <v>75672</v>
          </cell>
          <cell r="P20">
            <v>80827</v>
          </cell>
        </row>
        <row r="24">
          <cell r="N24">
            <v>102590</v>
          </cell>
          <cell r="O24">
            <v>102488</v>
          </cell>
          <cell r="P24">
            <v>119238</v>
          </cell>
        </row>
        <row r="29">
          <cell r="N29">
            <v>38500</v>
          </cell>
          <cell r="O29">
            <v>52294</v>
          </cell>
          <cell r="P29">
            <v>9682</v>
          </cell>
        </row>
      </sheetData>
      <sheetData sheetId="19">
        <row r="227">
          <cell r="F227">
            <v>0</v>
          </cell>
        </row>
        <row r="229">
          <cell r="F229">
            <v>0</v>
          </cell>
        </row>
        <row r="230">
          <cell r="F230">
            <v>0</v>
          </cell>
        </row>
        <row r="231">
          <cell r="F231">
            <v>0</v>
          </cell>
        </row>
        <row r="252">
          <cell r="B252">
            <v>1864995.8427653715</v>
          </cell>
          <cell r="D252">
            <v>0</v>
          </cell>
          <cell r="E252">
            <v>1042203.5591924135</v>
          </cell>
          <cell r="F252">
            <v>211302.59804221475</v>
          </cell>
        </row>
        <row r="254">
          <cell r="B254">
            <v>2065697.2641509434</v>
          </cell>
          <cell r="D254">
            <v>0</v>
          </cell>
          <cell r="E254">
            <v>1154360.2358490566</v>
          </cell>
          <cell r="F254">
            <v>270671.5</v>
          </cell>
        </row>
        <row r="255">
          <cell r="D255">
            <v>0</v>
          </cell>
          <cell r="E255">
            <v>1393415.499328258</v>
          </cell>
          <cell r="F255">
            <v>370939.74772354087</v>
          </cell>
        </row>
        <row r="256">
          <cell r="B256">
            <v>2876598.9823356718</v>
          </cell>
          <cell r="C256">
            <v>0</v>
          </cell>
          <cell r="D256">
            <v>0</v>
          </cell>
          <cell r="E256">
            <v>1598381.4808180325</v>
          </cell>
          <cell r="F256">
            <v>425503.53684629546</v>
          </cell>
        </row>
        <row r="260">
          <cell r="B260">
            <v>3086046.1425512396</v>
          </cell>
          <cell r="D260">
            <v>0</v>
          </cell>
          <cell r="E260">
            <v>1724555.1973080453</v>
          </cell>
          <cell r="F260">
            <v>349646.66014071577</v>
          </cell>
        </row>
        <row r="262">
          <cell r="B262">
            <v>2754445.3816466546</v>
          </cell>
          <cell r="D262">
            <v>0</v>
          </cell>
          <cell r="E262">
            <v>1539248.889743719</v>
          </cell>
          <cell r="F262">
            <v>360919.22860962572</v>
          </cell>
        </row>
        <row r="263">
          <cell r="D263">
            <v>0</v>
          </cell>
          <cell r="E263">
            <v>1228058.880803105</v>
          </cell>
          <cell r="F263">
            <v>326920.32753644825</v>
          </cell>
        </row>
        <row r="264">
          <cell r="B264">
            <v>1628642.562894959</v>
          </cell>
          <cell r="C264">
            <v>0</v>
          </cell>
          <cell r="D264">
            <v>0</v>
          </cell>
          <cell r="E264">
            <v>904954.81900283624</v>
          </cell>
          <cell r="F264">
            <v>240907.11810220429</v>
          </cell>
        </row>
      </sheetData>
      <sheetData sheetId="20">
        <row r="15">
          <cell r="H15">
            <v>1165</v>
          </cell>
          <cell r="I15">
            <v>0.71</v>
          </cell>
          <cell r="J15">
            <v>0.28999999999999998</v>
          </cell>
        </row>
        <row r="17">
          <cell r="H17">
            <v>1245.6666666666667</v>
          </cell>
          <cell r="I17">
            <v>0.55800000000000005</v>
          </cell>
          <cell r="J17">
            <v>0.442</v>
          </cell>
        </row>
        <row r="18">
          <cell r="C18">
            <v>1909</v>
          </cell>
          <cell r="I18">
            <v>0.64100000000000001</v>
          </cell>
          <cell r="J18">
            <v>0.35899999999999999</v>
          </cell>
        </row>
        <row r="19">
          <cell r="C19">
            <v>2074</v>
          </cell>
          <cell r="D19">
            <v>0.64100000000000001</v>
          </cell>
          <cell r="E19">
            <v>0.35899999999999999</v>
          </cell>
        </row>
        <row r="21">
          <cell r="H21">
            <v>73686</v>
          </cell>
          <cell r="I21">
            <v>0.46899999999999997</v>
          </cell>
          <cell r="J21">
            <v>0.50600000000000001</v>
          </cell>
          <cell r="K21">
            <v>2.5000000000000001E-2</v>
          </cell>
        </row>
        <row r="23">
          <cell r="H23">
            <v>70279</v>
          </cell>
        </row>
        <row r="25">
          <cell r="C25">
            <v>73821</v>
          </cell>
          <cell r="D25">
            <v>0.51800000000000002</v>
          </cell>
          <cell r="E25">
            <v>0.46200000000000002</v>
          </cell>
          <cell r="F25">
            <v>0.02</v>
          </cell>
        </row>
        <row r="29">
          <cell r="H29">
            <v>28547</v>
          </cell>
          <cell r="I29">
            <v>0.58099999999999996</v>
          </cell>
          <cell r="J29">
            <v>0.41699999999999998</v>
          </cell>
          <cell r="K29">
            <v>2E-3</v>
          </cell>
        </row>
        <row r="30">
          <cell r="C30">
            <v>28052</v>
          </cell>
          <cell r="I30">
            <v>0.6</v>
          </cell>
          <cell r="J30">
            <v>0.39900000000000002</v>
          </cell>
          <cell r="K30">
            <v>2E-3</v>
          </cell>
        </row>
        <row r="31">
          <cell r="C31">
            <v>29537</v>
          </cell>
          <cell r="D31">
            <v>0.6</v>
          </cell>
          <cell r="E31">
            <v>0.39900000000000002</v>
          </cell>
          <cell r="F31">
            <v>2E-3</v>
          </cell>
        </row>
        <row r="39">
          <cell r="H39">
            <v>1154.5</v>
          </cell>
          <cell r="I39">
            <v>0.20899999999999999</v>
          </cell>
          <cell r="N39">
            <v>0.79100000000000004</v>
          </cell>
          <cell r="O39">
            <v>0</v>
          </cell>
        </row>
        <row r="41">
          <cell r="H41">
            <v>825.66666666666663</v>
          </cell>
          <cell r="I41">
            <v>0.21499999999999997</v>
          </cell>
          <cell r="J41">
            <v>0.78500000000000003</v>
          </cell>
          <cell r="K41">
            <v>0</v>
          </cell>
        </row>
        <row r="42">
          <cell r="C42">
            <v>2163</v>
          </cell>
          <cell r="I42">
            <v>0.21299999999999997</v>
          </cell>
          <cell r="N42">
            <v>0.78700000000000003</v>
          </cell>
          <cell r="O42">
            <v>0</v>
          </cell>
        </row>
        <row r="43">
          <cell r="C43">
            <v>3557</v>
          </cell>
          <cell r="D43">
            <v>4.8000000000000001E-2</v>
          </cell>
          <cell r="N43">
            <v>0.95199999999999996</v>
          </cell>
          <cell r="O43">
            <v>0</v>
          </cell>
        </row>
        <row r="45">
          <cell r="H45">
            <v>115126.5</v>
          </cell>
          <cell r="I45">
            <v>0.35020000000000001</v>
          </cell>
          <cell r="J45">
            <v>0.58240000000000003</v>
          </cell>
          <cell r="K45">
            <v>6.7400000000000002E-2</v>
          </cell>
        </row>
        <row r="47">
          <cell r="H47">
            <v>147368.33333333334</v>
          </cell>
          <cell r="I47">
            <v>0.35299999999999998</v>
          </cell>
          <cell r="J47">
            <v>0.62</v>
          </cell>
          <cell r="K47">
            <v>2.7E-2</v>
          </cell>
        </row>
        <row r="48">
          <cell r="C48">
            <v>154807</v>
          </cell>
          <cell r="I48">
            <v>0.38300000000000001</v>
          </cell>
          <cell r="J48">
            <v>0.59499999999999997</v>
          </cell>
          <cell r="K48">
            <v>2.1999999999999999E-2</v>
          </cell>
        </row>
        <row r="49">
          <cell r="C49">
            <v>146204</v>
          </cell>
          <cell r="D49">
            <v>0.38300000000000001</v>
          </cell>
          <cell r="E49">
            <v>0.59499999999999997</v>
          </cell>
          <cell r="F49">
            <v>2.1999999999999999E-2</v>
          </cell>
        </row>
      </sheetData>
      <sheetData sheetId="21">
        <row r="80">
          <cell r="F80">
            <v>139000</v>
          </cell>
        </row>
        <row r="84">
          <cell r="F84">
            <v>139000</v>
          </cell>
        </row>
        <row r="88">
          <cell r="F88">
            <v>139000</v>
          </cell>
        </row>
        <row r="92">
          <cell r="F92">
            <v>139000</v>
          </cell>
        </row>
        <row r="102">
          <cell r="F102">
            <v>49000</v>
          </cell>
        </row>
        <row r="106">
          <cell r="F106">
            <v>49000</v>
          </cell>
        </row>
        <row r="110">
          <cell r="F110">
            <v>49000</v>
          </cell>
        </row>
        <row r="114">
          <cell r="F114">
            <v>49000</v>
          </cell>
        </row>
      </sheetData>
      <sheetData sheetId="22">
        <row r="17">
          <cell r="D17">
            <v>524</v>
          </cell>
        </row>
        <row r="21">
          <cell r="D21">
            <v>313</v>
          </cell>
        </row>
        <row r="22">
          <cell r="D22">
            <v>350</v>
          </cell>
        </row>
        <row r="24">
          <cell r="D24">
            <v>30</v>
          </cell>
        </row>
        <row r="28">
          <cell r="D28">
            <v>255</v>
          </cell>
        </row>
      </sheetData>
      <sheetData sheetId="23">
        <row r="40">
          <cell r="A40" t="str">
            <v>2006/07</v>
          </cell>
          <cell r="B40">
            <v>338485.25</v>
          </cell>
          <cell r="C40">
            <v>6860141.5</v>
          </cell>
          <cell r="D40">
            <v>213246.25</v>
          </cell>
          <cell r="E40">
            <v>4143078.25</v>
          </cell>
          <cell r="F40">
            <v>1577301.5</v>
          </cell>
          <cell r="G40">
            <v>492369.75</v>
          </cell>
          <cell r="H40">
            <v>5175222</v>
          </cell>
          <cell r="I40">
            <v>2093310.75</v>
          </cell>
          <cell r="J40">
            <v>20893155.25</v>
          </cell>
        </row>
        <row r="41">
          <cell r="A41" t="str">
            <v>2008/09</v>
          </cell>
          <cell r="B41">
            <v>351198.25</v>
          </cell>
          <cell r="C41">
            <v>7037192.25</v>
          </cell>
          <cell r="D41">
            <v>224377</v>
          </cell>
          <cell r="E41">
            <v>4331377.5</v>
          </cell>
          <cell r="F41">
            <v>1607840.25</v>
          </cell>
          <cell r="G41">
            <v>502244.75</v>
          </cell>
          <cell r="H41">
            <v>5358128.75</v>
          </cell>
          <cell r="I41">
            <v>2223868.25</v>
          </cell>
          <cell r="J41">
            <v>21636227</v>
          </cell>
        </row>
        <row r="42">
          <cell r="A42" t="str">
            <v>2009/10</v>
          </cell>
          <cell r="B42">
            <v>358090.5</v>
          </cell>
          <cell r="C42">
            <v>7120073</v>
          </cell>
          <cell r="D42">
            <v>228999.75</v>
          </cell>
          <cell r="E42">
            <v>4403861.25</v>
          </cell>
          <cell r="F42">
            <v>1624525</v>
          </cell>
          <cell r="G42">
            <v>506836.5</v>
          </cell>
          <cell r="H42">
            <v>5445271.75</v>
          </cell>
          <cell r="I42">
            <v>2277396</v>
          </cell>
          <cell r="J42">
            <v>21965053.75</v>
          </cell>
        </row>
        <row r="43">
          <cell r="A43" t="str">
            <v>2010/11</v>
          </cell>
          <cell r="B43">
            <v>365013.75</v>
          </cell>
          <cell r="C43">
            <v>7187313.75</v>
          </cell>
          <cell r="D43">
            <v>230743</v>
          </cell>
          <cell r="E43">
            <v>4454570.5</v>
          </cell>
          <cell r="F43">
            <v>1634892.5</v>
          </cell>
          <cell r="G43">
            <v>510208.75</v>
          </cell>
          <cell r="H43">
            <v>5509798.25</v>
          </cell>
          <cell r="I43">
            <v>2329535.25</v>
          </cell>
          <cell r="J43">
            <v>22222075.75</v>
          </cell>
        </row>
        <row r="44">
          <cell r="E44">
            <v>4525997.25</v>
          </cell>
        </row>
        <row r="63">
          <cell r="E63" t="str">
            <v>Percentage of the population in metro or inner regional areas</v>
          </cell>
        </row>
        <row r="65">
          <cell r="E65">
            <v>0.72342418508773165</v>
          </cell>
        </row>
        <row r="72">
          <cell r="E72">
            <v>0.74124268480658417</v>
          </cell>
        </row>
        <row r="78">
          <cell r="E78">
            <v>0.58971034564857128</v>
          </cell>
        </row>
        <row r="85">
          <cell r="E85">
            <v>0.72752042695511365</v>
          </cell>
        </row>
        <row r="92">
          <cell r="E92">
            <v>0.71286830822671854</v>
          </cell>
        </row>
        <row r="99">
          <cell r="E99">
            <v>0.64606661791667996</v>
          </cell>
        </row>
        <row r="105">
          <cell r="E105">
            <v>0.54454208972128959</v>
          </cell>
        </row>
        <row r="110">
          <cell r="E110">
            <v>0.99794561517238356</v>
          </cell>
        </row>
      </sheetData>
      <sheetData sheetId="24">
        <row r="20">
          <cell r="B20">
            <v>392503</v>
          </cell>
          <cell r="C20">
            <v>277691</v>
          </cell>
          <cell r="D20">
            <v>235394</v>
          </cell>
          <cell r="E20">
            <v>78657</v>
          </cell>
          <cell r="F20">
            <v>177637</v>
          </cell>
          <cell r="G20">
            <v>22327</v>
          </cell>
          <cell r="H20">
            <v>14264</v>
          </cell>
          <cell r="I20">
            <v>25528</v>
          </cell>
        </row>
        <row r="21">
          <cell r="B21">
            <v>400747</v>
          </cell>
          <cell r="C21">
            <v>288274</v>
          </cell>
          <cell r="D21">
            <v>248820</v>
          </cell>
          <cell r="E21">
            <v>80199</v>
          </cell>
          <cell r="F21">
            <v>188705</v>
          </cell>
          <cell r="G21">
            <v>22937</v>
          </cell>
          <cell r="H21">
            <v>15079</v>
          </cell>
          <cell r="I21">
            <v>26645</v>
          </cell>
        </row>
        <row r="22">
          <cell r="B22">
            <v>412244</v>
          </cell>
          <cell r="C22">
            <v>298320</v>
          </cell>
          <cell r="D22">
            <v>260796</v>
          </cell>
          <cell r="E22">
            <v>84855</v>
          </cell>
          <cell r="F22">
            <v>195973</v>
          </cell>
          <cell r="G22">
            <v>23592</v>
          </cell>
          <cell r="H22">
            <v>16135</v>
          </cell>
          <cell r="I22">
            <v>27483</v>
          </cell>
        </row>
        <row r="23">
          <cell r="B23">
            <v>416293</v>
          </cell>
          <cell r="C23">
            <v>301548</v>
          </cell>
          <cell r="D23">
            <v>263465</v>
          </cell>
          <cell r="E23">
            <v>86450</v>
          </cell>
          <cell r="F23">
            <v>204354</v>
          </cell>
          <cell r="G23">
            <v>24154</v>
          </cell>
          <cell r="H23">
            <v>16917</v>
          </cell>
          <cell r="I23">
            <v>28618</v>
          </cell>
        </row>
        <row r="24">
          <cell r="B24">
            <v>424547</v>
          </cell>
          <cell r="C24">
            <v>307193</v>
          </cell>
          <cell r="D24">
            <v>267221</v>
          </cell>
          <cell r="E24">
            <v>87346</v>
          </cell>
          <cell r="F24">
            <v>213151</v>
          </cell>
          <cell r="G24">
            <v>24168</v>
          </cell>
          <cell r="H24">
            <v>17118</v>
          </cell>
          <cell r="I24">
            <v>29509</v>
          </cell>
        </row>
        <row r="25">
          <cell r="B25">
            <v>435547</v>
          </cell>
          <cell r="C25">
            <v>315571</v>
          </cell>
          <cell r="D25">
            <v>269880</v>
          </cell>
          <cell r="E25">
            <v>89322</v>
          </cell>
          <cell r="F25">
            <v>221574</v>
          </cell>
          <cell r="G25">
            <v>24218</v>
          </cell>
          <cell r="H25">
            <v>17322</v>
          </cell>
          <cell r="I25">
            <v>30455</v>
          </cell>
        </row>
        <row r="26">
          <cell r="B26">
            <v>446169</v>
          </cell>
          <cell r="C26">
            <v>322833</v>
          </cell>
          <cell r="D26">
            <v>280622</v>
          </cell>
          <cell r="E26">
            <v>91217</v>
          </cell>
          <cell r="F26">
            <v>236338</v>
          </cell>
          <cell r="G26">
            <v>24345</v>
          </cell>
          <cell r="H26">
            <v>18086</v>
          </cell>
          <cell r="I26">
            <v>31511</v>
          </cell>
        </row>
        <row r="36">
          <cell r="B36">
            <v>1920</v>
          </cell>
          <cell r="C36">
            <v>2.6</v>
          </cell>
        </row>
        <row r="37">
          <cell r="B37">
            <v>1237</v>
          </cell>
          <cell r="C37">
            <v>2.6</v>
          </cell>
        </row>
        <row r="38">
          <cell r="B38">
            <v>1674</v>
          </cell>
          <cell r="C38">
            <v>2.9</v>
          </cell>
        </row>
        <row r="39">
          <cell r="B39">
            <v>1235</v>
          </cell>
          <cell r="C39">
            <v>2.6</v>
          </cell>
        </row>
        <row r="40">
          <cell r="B40">
            <v>1044</v>
          </cell>
          <cell r="C40">
            <v>2.4</v>
          </cell>
        </row>
        <row r="41">
          <cell r="B41">
            <v>948</v>
          </cell>
          <cell r="C41">
            <v>2.4</v>
          </cell>
        </row>
        <row r="42">
          <cell r="B42">
            <v>1216</v>
          </cell>
          <cell r="C42">
            <v>2.6</v>
          </cell>
        </row>
        <row r="43">
          <cell r="B43">
            <v>1415</v>
          </cell>
          <cell r="C43">
            <v>2.6</v>
          </cell>
        </row>
      </sheetData>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21"/>
  <sheetViews>
    <sheetView tabSelected="1" workbookViewId="0">
      <pane ySplit="1" topLeftCell="A2" activePane="bottomLeft" state="frozen"/>
      <selection pane="bottomLeft" activeCell="A2" sqref="A2"/>
    </sheetView>
  </sheetViews>
  <sheetFormatPr defaultRowHeight="15"/>
  <cols>
    <col min="1" max="1" width="12.7109375" style="365" customWidth="1"/>
    <col min="2" max="2" width="133.7109375" style="365" customWidth="1"/>
    <col min="3" max="16384" width="9.140625" style="365"/>
  </cols>
  <sheetData>
    <row r="1" spans="1:2" s="363" customFormat="1" ht="21">
      <c r="A1" s="363" t="s">
        <v>245</v>
      </c>
    </row>
    <row r="2" spans="1:2">
      <c r="B2" s="482" t="s">
        <v>278</v>
      </c>
    </row>
    <row r="3" spans="1:2">
      <c r="A3" s="365" t="s">
        <v>256</v>
      </c>
    </row>
    <row r="4" spans="1:2">
      <c r="A4" s="365" t="s">
        <v>178</v>
      </c>
    </row>
    <row r="5" spans="1:2">
      <c r="A5" s="365" t="s">
        <v>175</v>
      </c>
    </row>
    <row r="6" spans="1:2">
      <c r="A6" s="365" t="s">
        <v>246</v>
      </c>
    </row>
    <row r="8" spans="1:2">
      <c r="A8" s="365" t="s">
        <v>176</v>
      </c>
    </row>
    <row r="9" spans="1:2">
      <c r="A9" s="365" t="s">
        <v>177</v>
      </c>
    </row>
    <row r="11" spans="1:2">
      <c r="A11" s="365" t="s">
        <v>174</v>
      </c>
    </row>
    <row r="20" spans="1:2">
      <c r="A20" s="536" t="s">
        <v>179</v>
      </c>
    </row>
    <row r="21" spans="1:2" ht="63" customHeight="1">
      <c r="A21" s="698" t="s">
        <v>257</v>
      </c>
      <c r="B21" s="698"/>
    </row>
  </sheetData>
  <mergeCells count="1">
    <mergeCell ref="A21:B21"/>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dimension ref="A1:AQ209"/>
  <sheetViews>
    <sheetView zoomScale="70" zoomScaleNormal="70" workbookViewId="0">
      <pane ySplit="1" topLeftCell="A2" activePane="bottomLeft" state="frozen"/>
      <selection pane="bottomLeft" activeCell="A2" sqref="A2"/>
    </sheetView>
  </sheetViews>
  <sheetFormatPr defaultRowHeight="15"/>
  <cols>
    <col min="1" max="1" width="9.140625" style="365"/>
    <col min="2" max="3" width="11.42578125" style="365" customWidth="1"/>
    <col min="4" max="4" width="14.140625" style="365" customWidth="1"/>
    <col min="5" max="7" width="11.42578125" style="365" customWidth="1"/>
    <col min="8" max="8" width="10" style="365" customWidth="1"/>
    <col min="9" max="10" width="9.140625" style="365"/>
    <col min="11" max="11" width="13.85546875" style="365" customWidth="1"/>
    <col min="12" max="12" width="10.140625" style="365" bestFit="1" customWidth="1"/>
    <col min="13" max="15" width="9.140625" style="365"/>
    <col min="16" max="16" width="10.140625" style="365" bestFit="1" customWidth="1"/>
    <col min="17" max="17" width="9.140625" style="365"/>
    <col min="18" max="18" width="11.140625" style="365" customWidth="1"/>
    <col min="19" max="19" width="8.5703125" style="365" bestFit="1" customWidth="1"/>
    <col min="20" max="20" width="10.5703125" style="365" customWidth="1"/>
    <col min="21" max="21" width="11.42578125" style="365" customWidth="1"/>
    <col min="22" max="22" width="14.85546875" style="365" customWidth="1"/>
    <col min="23" max="23" width="11.140625" style="365" customWidth="1"/>
    <col min="24" max="24" width="12.85546875" style="365" customWidth="1"/>
    <col min="25" max="31" width="9.140625" style="365"/>
    <col min="32" max="32" width="9.140625" style="365" customWidth="1"/>
    <col min="33" max="40" width="10.42578125" style="365" customWidth="1"/>
    <col min="41" max="42" width="15.85546875" style="365" customWidth="1"/>
    <col min="43" max="16384" width="9.140625" style="365"/>
  </cols>
  <sheetData>
    <row r="1" spans="1:43" s="363" customFormat="1" ht="21">
      <c r="A1" s="363" t="s">
        <v>255</v>
      </c>
    </row>
    <row r="2" spans="1:43" ht="18">
      <c r="AO2" s="367"/>
    </row>
    <row r="3" spans="1:43">
      <c r="AH3" s="489" t="s">
        <v>126</v>
      </c>
      <c r="AI3" s="490"/>
      <c r="AJ3" s="490"/>
      <c r="AK3" s="490"/>
      <c r="AL3" s="490"/>
      <c r="AM3" s="490"/>
      <c r="AN3" s="491"/>
      <c r="AO3" s="368"/>
      <c r="AP3" s="491"/>
      <c r="AQ3" s="491"/>
    </row>
    <row r="4" spans="1:43">
      <c r="A4" s="375" t="s">
        <v>147</v>
      </c>
      <c r="B4" s="376"/>
      <c r="C4" s="376"/>
      <c r="D4" s="376"/>
      <c r="E4" s="376"/>
      <c r="F4" s="376"/>
      <c r="G4" s="377"/>
      <c r="H4" s="377"/>
      <c r="I4" s="377"/>
      <c r="J4" s="377"/>
      <c r="AH4" s="489"/>
      <c r="AI4" s="492" t="s">
        <v>148</v>
      </c>
      <c r="AJ4" s="493"/>
      <c r="AK4" s="493"/>
      <c r="AL4" s="494"/>
      <c r="AM4" s="491"/>
      <c r="AN4" s="491"/>
      <c r="AO4" s="368"/>
      <c r="AP4" s="491"/>
      <c r="AQ4" s="491"/>
    </row>
    <row r="5" spans="1:43">
      <c r="A5" s="375"/>
      <c r="B5" s="378" t="s">
        <v>127</v>
      </c>
      <c r="C5" s="379"/>
      <c r="D5" s="379"/>
      <c r="E5" s="380"/>
      <c r="F5" s="378" t="s">
        <v>128</v>
      </c>
      <c r="G5" s="377"/>
      <c r="H5" s="377"/>
      <c r="I5" s="377"/>
      <c r="J5" s="377"/>
      <c r="AH5" s="491"/>
      <c r="AI5" s="509" t="s">
        <v>78</v>
      </c>
      <c r="AJ5" s="510" t="s">
        <v>72</v>
      </c>
      <c r="AK5" s="510" t="s">
        <v>68</v>
      </c>
      <c r="AL5" s="511" t="s">
        <v>69</v>
      </c>
      <c r="AM5" s="509" t="s">
        <v>73</v>
      </c>
      <c r="AN5" s="491"/>
      <c r="AO5" s="369"/>
      <c r="AP5" s="491"/>
      <c r="AQ5" s="491"/>
    </row>
    <row r="6" spans="1:43" ht="30">
      <c r="A6" s="377"/>
      <c r="B6" s="381" t="s">
        <v>78</v>
      </c>
      <c r="C6" s="382" t="s">
        <v>72</v>
      </c>
      <c r="D6" s="382" t="s">
        <v>68</v>
      </c>
      <c r="E6" s="383" t="s">
        <v>69</v>
      </c>
      <c r="F6" s="384" t="s">
        <v>78</v>
      </c>
      <c r="G6" s="382" t="s">
        <v>72</v>
      </c>
      <c r="H6" s="382" t="s">
        <v>68</v>
      </c>
      <c r="I6" s="382" t="s">
        <v>69</v>
      </c>
      <c r="J6" s="381" t="s">
        <v>73</v>
      </c>
      <c r="AH6" s="495" t="s">
        <v>118</v>
      </c>
      <c r="AI6" s="496">
        <f>B20/1000</f>
        <v>0.93437196936494693</v>
      </c>
      <c r="AJ6" s="632">
        <f t="shared" ref="AJ6:AL13" si="0">C20/1000</f>
        <v>0.19850503867761729</v>
      </c>
      <c r="AK6" s="497">
        <f t="shared" si="0"/>
        <v>0.70459138807020694</v>
      </c>
      <c r="AL6" s="635">
        <f t="shared" si="0"/>
        <v>3.1275542617122828E-2</v>
      </c>
      <c r="AM6" s="498">
        <f t="shared" ref="AM6:AM13" si="1">J20</f>
        <v>0.78755244679211356</v>
      </c>
      <c r="AN6" s="491"/>
      <c r="AO6" s="369"/>
      <c r="AP6" s="491"/>
      <c r="AQ6" s="491"/>
    </row>
    <row r="7" spans="1:43">
      <c r="A7" s="385" t="s">
        <v>118</v>
      </c>
      <c r="B7" s="386">
        <f>ACT!$BM$14</f>
        <v>934.37196936494695</v>
      </c>
      <c r="C7" s="387">
        <f>ACT!$BM$10</f>
        <v>198.50503867761728</v>
      </c>
      <c r="D7" s="387">
        <f>ACT!$BM$11</f>
        <v>704.5913880702069</v>
      </c>
      <c r="E7" s="388">
        <f>ACT!$BM$12</f>
        <v>31.275542617122831</v>
      </c>
      <c r="F7" s="587">
        <f>ACT!$BN$14</f>
        <v>2.5598267719091323</v>
      </c>
      <c r="G7" s="602">
        <f>ACT!$BN$10</f>
        <v>0.54382893432813761</v>
      </c>
      <c r="H7" s="602">
        <f>ACT!$BN$11</f>
        <v>1.9303146472433077</v>
      </c>
      <c r="I7" s="391">
        <f>ACT!$BN$12</f>
        <v>8.5683190337686829E-2</v>
      </c>
      <c r="J7" s="392">
        <f>ACT!$BM$13</f>
        <v>0.78755244679211356</v>
      </c>
      <c r="AH7" s="491" t="s">
        <v>119</v>
      </c>
      <c r="AI7" s="499">
        <f t="shared" ref="AI7:AI13" si="2">B21/1000</f>
        <v>17.130999660851188</v>
      </c>
      <c r="AJ7" s="633">
        <f t="shared" si="0"/>
        <v>5.9359745797020693</v>
      </c>
      <c r="AK7" s="500">
        <f t="shared" si="0"/>
        <v>10.7125</v>
      </c>
      <c r="AL7" s="636">
        <f t="shared" si="0"/>
        <v>0.48252508114911835</v>
      </c>
      <c r="AM7" s="501">
        <f t="shared" si="1"/>
        <v>0.65349514346980453</v>
      </c>
      <c r="AN7" s="491"/>
      <c r="AO7" s="369"/>
      <c r="AP7" s="491"/>
      <c r="AQ7" s="491"/>
    </row>
    <row r="8" spans="1:43">
      <c r="A8" s="377" t="s">
        <v>119</v>
      </c>
      <c r="B8" s="393">
        <f>NSW!$BM$14</f>
        <v>21636.241206081817</v>
      </c>
      <c r="C8" s="394">
        <f>NSW!$BM$10</f>
        <v>7564.6171425970288</v>
      </c>
      <c r="D8" s="394">
        <f>NSW!$BM$11</f>
        <v>13589.098982335672</v>
      </c>
      <c r="E8" s="395">
        <f>NSW!$BM$12</f>
        <v>482.52508114911836</v>
      </c>
      <c r="F8" s="588">
        <f>NSW!$BN$14</f>
        <v>3.0103376530740458</v>
      </c>
      <c r="G8" s="487">
        <f>NSW!$BN$10</f>
        <v>1.0524957453815103</v>
      </c>
      <c r="H8" s="487">
        <f>NSW!$BN$11</f>
        <v>1.8907062436693645</v>
      </c>
      <c r="I8" s="398">
        <f>NSW!$BN$12</f>
        <v>6.7135664023171157E-2</v>
      </c>
      <c r="J8" s="399">
        <f>NSW!$BM$13</f>
        <v>0.65037285956718505</v>
      </c>
      <c r="AH8" s="491" t="s">
        <v>120</v>
      </c>
      <c r="AI8" s="499">
        <f t="shared" si="2"/>
        <v>0.30409977280842376</v>
      </c>
      <c r="AJ8" s="633">
        <f t="shared" si="0"/>
        <v>0.27627568802498115</v>
      </c>
      <c r="AK8" s="633">
        <f t="shared" si="0"/>
        <v>1.3992091369799335E-2</v>
      </c>
      <c r="AL8" s="636">
        <f t="shared" si="0"/>
        <v>1.3831993413643296E-2</v>
      </c>
      <c r="AM8" s="501">
        <f t="shared" si="1"/>
        <v>9.1496565507042313E-2</v>
      </c>
      <c r="AN8" s="491"/>
      <c r="AO8" s="368"/>
      <c r="AP8" s="491"/>
      <c r="AQ8" s="491"/>
    </row>
    <row r="9" spans="1:43">
      <c r="A9" s="377" t="s">
        <v>120</v>
      </c>
      <c r="B9" s="393">
        <f>NT!$BM$14</f>
        <v>304.09977280842378</v>
      </c>
      <c r="C9" s="394">
        <f>NT!$BM$10</f>
        <v>276.27568802498115</v>
      </c>
      <c r="D9" s="394">
        <f>NT!$BM$11</f>
        <v>13.992091369799335</v>
      </c>
      <c r="E9" s="395">
        <f>NT!$BM$12</f>
        <v>13.831993413643296</v>
      </c>
      <c r="F9" s="588">
        <f>NT!$BN$14</f>
        <v>1.3179154852299906</v>
      </c>
      <c r="G9" s="487">
        <f>NT!$BN$10</f>
        <v>1.1973307447028994</v>
      </c>
      <c r="H9" s="487">
        <f>NT!$BN$11</f>
        <v>6.0639288601601483E-2</v>
      </c>
      <c r="I9" s="398">
        <f>NT!$BN$12</f>
        <v>5.9945451925489814E-2</v>
      </c>
      <c r="J9" s="399">
        <f>NT!$BM$13</f>
        <v>9.1496565507042313E-2</v>
      </c>
      <c r="AH9" s="491" t="s">
        <v>121</v>
      </c>
      <c r="AI9" s="499">
        <f t="shared" si="2"/>
        <v>7.5083015370000004</v>
      </c>
      <c r="AJ9" s="633">
        <f t="shared" si="0"/>
        <v>3.5790600809148994</v>
      </c>
      <c r="AK9" s="500">
        <f t="shared" si="0"/>
        <v>3.5736625370000001</v>
      </c>
      <c r="AL9" s="636">
        <f t="shared" si="0"/>
        <v>0.35557891908509981</v>
      </c>
      <c r="AM9" s="501">
        <f t="shared" si="1"/>
        <v>0.5233196131937794</v>
      </c>
      <c r="AN9" s="491"/>
      <c r="AO9" s="369"/>
      <c r="AP9" s="491"/>
      <c r="AQ9" s="491"/>
    </row>
    <row r="10" spans="1:43">
      <c r="A10" s="377" t="s">
        <v>121</v>
      </c>
      <c r="B10" s="393">
        <f>Qld!$BM$61</f>
        <v>13234.509537</v>
      </c>
      <c r="C10" s="394">
        <f>Qld!$BM$57</f>
        <v>8467.4460809149004</v>
      </c>
      <c r="D10" s="394">
        <f>Qld!$BM$58</f>
        <v>4411.4845370000003</v>
      </c>
      <c r="E10" s="395">
        <f>Qld!$BM$59</f>
        <v>355.57891908509981</v>
      </c>
      <c r="F10" s="588">
        <f>Qld!$BN$61</f>
        <v>2.9686912659705351</v>
      </c>
      <c r="G10" s="487">
        <f>Qld!$BN$57</f>
        <v>1.900844555252835</v>
      </c>
      <c r="H10" s="487">
        <f>Qld!$BN$58</f>
        <v>0.99032769534122322</v>
      </c>
      <c r="I10" s="398">
        <f>Qld!$BN$59</f>
        <v>7.7519015376476777E-2</v>
      </c>
      <c r="J10" s="399">
        <f>Qld!$BM$60</f>
        <v>0.36019948021176906</v>
      </c>
      <c r="AH10" s="491" t="s">
        <v>122</v>
      </c>
      <c r="AI10" s="499">
        <f t="shared" si="2"/>
        <v>3.8658448421839946</v>
      </c>
      <c r="AJ10" s="633">
        <f t="shared" si="0"/>
        <v>0.88273499038925762</v>
      </c>
      <c r="AK10" s="500">
        <f t="shared" si="0"/>
        <v>2.8469000000000002</v>
      </c>
      <c r="AL10" s="636">
        <f t="shared" si="0"/>
        <v>0.13620985179473655</v>
      </c>
      <c r="AM10" s="501">
        <f t="shared" si="1"/>
        <v>0.77165793599451349</v>
      </c>
      <c r="AN10" s="491"/>
      <c r="AO10" s="368"/>
      <c r="AP10" s="491"/>
      <c r="AQ10" s="491"/>
    </row>
    <row r="11" spans="1:43">
      <c r="A11" s="377" t="s">
        <v>122</v>
      </c>
      <c r="B11" s="393">
        <f>SA!$BM$14</f>
        <v>4065.8448421839944</v>
      </c>
      <c r="C11" s="394">
        <f>SA!$BM$10</f>
        <v>882.73499038925763</v>
      </c>
      <c r="D11" s="394">
        <f>SA!$BM$11</f>
        <v>3046.9</v>
      </c>
      <c r="E11" s="395">
        <f>SA!$BM$12</f>
        <v>136.20985179473655</v>
      </c>
      <c r="F11" s="588">
        <f>SA!$BN$14</f>
        <v>2.4869187681660989</v>
      </c>
      <c r="G11" s="487">
        <f>SA!$BN$10</f>
        <v>0.53993457697631952</v>
      </c>
      <c r="H11" s="487">
        <f>SA!$BN$11</f>
        <v>1.8636699354850546</v>
      </c>
      <c r="I11" s="398">
        <f>SA!$BN$12</f>
        <v>8.3314255704724643E-2</v>
      </c>
      <c r="J11" s="399">
        <f>SA!$BM$13</f>
        <v>0.78289014346275665</v>
      </c>
      <c r="AH11" s="491" t="s">
        <v>123</v>
      </c>
      <c r="AI11" s="499">
        <f t="shared" si="2"/>
        <v>0.60242813338168466</v>
      </c>
      <c r="AJ11" s="633">
        <f t="shared" si="0"/>
        <v>0.40571007966823214</v>
      </c>
      <c r="AK11" s="500">
        <f t="shared" si="0"/>
        <v>0.15687599999999999</v>
      </c>
      <c r="AL11" s="636">
        <f t="shared" si="0"/>
        <v>3.9842053713452577E-2</v>
      </c>
      <c r="AM11" s="501">
        <f t="shared" si="1"/>
        <v>0.32654194386505597</v>
      </c>
      <c r="AN11" s="491"/>
      <c r="AO11" s="369"/>
      <c r="AP11" s="491"/>
      <c r="AQ11" s="491"/>
    </row>
    <row r="12" spans="1:43">
      <c r="A12" s="377" t="s">
        <v>123</v>
      </c>
      <c r="B12" s="393">
        <f>Tas!$BM$14</f>
        <v>602.42813338168469</v>
      </c>
      <c r="C12" s="394">
        <f>Tas!$BM$10</f>
        <v>405.71007966823214</v>
      </c>
      <c r="D12" s="394">
        <f>Tas!$BM$11</f>
        <v>156.87599999999998</v>
      </c>
      <c r="E12" s="395">
        <f>Tas!$BM$12</f>
        <v>39.842053713452579</v>
      </c>
      <c r="F12" s="588">
        <f>Tas!$BN$14</f>
        <v>1.1807483375808132</v>
      </c>
      <c r="G12" s="487">
        <f>Tas!$BN$10</f>
        <v>0.79518448021174115</v>
      </c>
      <c r="H12" s="487">
        <f>Tas!$BN$11</f>
        <v>0.30747414661155842</v>
      </c>
      <c r="I12" s="398">
        <f>Tas!$BN$12</f>
        <v>7.8089710757513614E-2</v>
      </c>
      <c r="J12" s="399">
        <f>Tas!$BM$13</f>
        <v>0.32654194386505597</v>
      </c>
      <c r="AH12" s="491" t="s">
        <v>124</v>
      </c>
      <c r="AI12" s="499">
        <f t="shared" si="2"/>
        <v>12.028475266250002</v>
      </c>
      <c r="AJ12" s="633">
        <f t="shared" si="0"/>
        <v>4.5585433860114071</v>
      </c>
      <c r="AK12" s="500">
        <f t="shared" si="0"/>
        <v>7.1686499999999995</v>
      </c>
      <c r="AL12" s="636">
        <f t="shared" si="0"/>
        <v>0.30128188023859304</v>
      </c>
      <c r="AM12" s="501">
        <f t="shared" si="1"/>
        <v>0.62102067925417281</v>
      </c>
      <c r="AN12" s="491"/>
      <c r="AP12" s="491"/>
      <c r="AQ12" s="491"/>
    </row>
    <row r="13" spans="1:43" ht="18">
      <c r="A13" s="377" t="s">
        <v>124</v>
      </c>
      <c r="B13" s="393">
        <f>Vic!$BM$14</f>
        <v>14531.81156607087</v>
      </c>
      <c r="C13" s="394">
        <f>Vic!$BM$10</f>
        <v>5463.4982050142426</v>
      </c>
      <c r="D13" s="394">
        <f>Vic!$BM$11</f>
        <v>8767.0314808180337</v>
      </c>
      <c r="E13" s="395">
        <f>Vic!$BM$12</f>
        <v>301.28188023859303</v>
      </c>
      <c r="F13" s="588">
        <f>Vic!$BN$14</f>
        <v>2.6374489421769427</v>
      </c>
      <c r="G13" s="487">
        <f>Vic!$BN$10</f>
        <v>0.99159678033841681</v>
      </c>
      <c r="H13" s="487">
        <f>Vic!$BN$11</f>
        <v>1.5911710525549703</v>
      </c>
      <c r="I13" s="398">
        <f>Vic!$BN$12</f>
        <v>5.4681109283555532E-2</v>
      </c>
      <c r="J13" s="399">
        <f>Vic!$BM$13</f>
        <v>0.62403185726888211</v>
      </c>
      <c r="AH13" s="491" t="s">
        <v>125</v>
      </c>
      <c r="AI13" s="502">
        <f t="shared" si="2"/>
        <v>5.9568404949816856</v>
      </c>
      <c r="AJ13" s="634">
        <f t="shared" si="0"/>
        <v>3.6619019421374941</v>
      </c>
      <c r="AK13" s="503">
        <f t="shared" si="0"/>
        <v>2.1361732386302004</v>
      </c>
      <c r="AL13" s="637">
        <f t="shared" si="0"/>
        <v>0.15876531421399098</v>
      </c>
      <c r="AM13" s="512">
        <f t="shared" si="1"/>
        <v>0.38526103809184625</v>
      </c>
      <c r="AN13" s="491"/>
      <c r="AO13" s="367"/>
      <c r="AP13" s="491"/>
      <c r="AQ13" s="491"/>
    </row>
    <row r="14" spans="1:43">
      <c r="A14" s="377" t="s">
        <v>125</v>
      </c>
      <c r="B14" s="393">
        <f>WA!$BM$14</f>
        <v>6623.2511499301854</v>
      </c>
      <c r="C14" s="394">
        <f>WA!$BM$10</f>
        <v>3902.8090602396987</v>
      </c>
      <c r="D14" s="394">
        <f>WA!$BM$11</f>
        <v>2561.676775476496</v>
      </c>
      <c r="E14" s="395">
        <f>WA!$BM$12</f>
        <v>158.76531421399099</v>
      </c>
      <c r="F14" s="589">
        <f>WA!$BN$14</f>
        <v>2.8431641675867265</v>
      </c>
      <c r="G14" s="603">
        <f>WA!$BN$10</f>
        <v>1.6753595208485037</v>
      </c>
      <c r="H14" s="603">
        <f>WA!$BN$11</f>
        <v>1.0996514328239919</v>
      </c>
      <c r="I14" s="402">
        <f>WA!$BN$12</f>
        <v>6.8153213914230751E-2</v>
      </c>
      <c r="J14" s="399">
        <f>WA!$BM$13</f>
        <v>0.4107411946350793</v>
      </c>
      <c r="AH14" s="504" t="s">
        <v>40</v>
      </c>
      <c r="AI14" s="505">
        <f>SUM(AI6:AI13)</f>
        <v>48.331361676821921</v>
      </c>
      <c r="AJ14" s="506">
        <f>SUM(AJ6:AJ13)</f>
        <v>19.498705785525956</v>
      </c>
      <c r="AK14" s="506">
        <f>SUM(AK6:AK13)</f>
        <v>27.313345255070207</v>
      </c>
      <c r="AL14" s="507">
        <f>SUM(AL6:AL13)</f>
        <v>1.5193106362257573</v>
      </c>
      <c r="AM14" s="508">
        <f>SUM(AK14:AL14)/AI14</f>
        <v>0.59656204358759313</v>
      </c>
      <c r="AN14" s="491"/>
      <c r="AO14" s="369"/>
      <c r="AP14" s="491"/>
      <c r="AQ14" s="491"/>
    </row>
    <row r="15" spans="1:43">
      <c r="A15" s="403" t="s">
        <v>242</v>
      </c>
      <c r="B15" s="404">
        <f>SUM(B7:B14)</f>
        <v>61932.55817682192</v>
      </c>
      <c r="C15" s="405">
        <f>SUM(C7:C14)</f>
        <v>27161.596285525957</v>
      </c>
      <c r="D15" s="405">
        <f>SUM(D7:D14)</f>
        <v>33251.65125507021</v>
      </c>
      <c r="E15" s="406">
        <f>SUM(E7:E14)</f>
        <v>1519.3106362257572</v>
      </c>
      <c r="F15" s="572">
        <f>B15*1000/[2]Popn!$J$43</f>
        <v>2.7869834876618995</v>
      </c>
      <c r="G15" s="573">
        <f>C15*1000/[2]Popn!$J$43</f>
        <v>1.2222798892009876</v>
      </c>
      <c r="H15" s="573">
        <f>D15*1000/[2]Popn!$J$43</f>
        <v>1.4963341691907521</v>
      </c>
      <c r="I15" s="409">
        <f>E15*1000/[2]Popn!$J$43</f>
        <v>6.8369429270159751E-2</v>
      </c>
      <c r="J15" s="410">
        <f>SUM(D15:E15)/B15</f>
        <v>0.56143267636422134</v>
      </c>
      <c r="AO15" s="369"/>
    </row>
    <row r="16" spans="1:43">
      <c r="A16" s="377"/>
      <c r="B16" s="377"/>
      <c r="C16" s="377"/>
      <c r="D16" s="377"/>
      <c r="E16" s="377"/>
      <c r="F16" s="377"/>
      <c r="G16" s="377"/>
      <c r="H16" s="377"/>
      <c r="I16" s="377"/>
      <c r="J16" s="377"/>
      <c r="AO16" s="369"/>
    </row>
    <row r="17" spans="1:41">
      <c r="A17" s="375" t="s">
        <v>126</v>
      </c>
      <c r="B17" s="376"/>
      <c r="C17" s="376"/>
      <c r="D17" s="376"/>
      <c r="E17" s="376"/>
      <c r="F17" s="376"/>
      <c r="G17" s="377"/>
      <c r="H17" s="377"/>
      <c r="I17" s="377"/>
      <c r="J17" s="377"/>
    </row>
    <row r="18" spans="1:41">
      <c r="A18" s="375"/>
      <c r="B18" s="378" t="s">
        <v>127</v>
      </c>
      <c r="C18" s="379"/>
      <c r="D18" s="379"/>
      <c r="E18" s="380"/>
      <c r="F18" s="378" t="s">
        <v>128</v>
      </c>
      <c r="G18" s="377"/>
      <c r="H18" s="377"/>
      <c r="I18" s="377"/>
      <c r="J18" s="377"/>
      <c r="AO18" s="369"/>
    </row>
    <row r="19" spans="1:41" ht="30">
      <c r="A19" s="377"/>
      <c r="B19" s="381" t="s">
        <v>78</v>
      </c>
      <c r="C19" s="382" t="s">
        <v>72</v>
      </c>
      <c r="D19" s="382" t="s">
        <v>68</v>
      </c>
      <c r="E19" s="383" t="s">
        <v>69</v>
      </c>
      <c r="F19" s="384" t="s">
        <v>78</v>
      </c>
      <c r="G19" s="382" t="s">
        <v>72</v>
      </c>
      <c r="H19" s="382" t="s">
        <v>68</v>
      </c>
      <c r="I19" s="382" t="s">
        <v>69</v>
      </c>
      <c r="J19" s="381" t="s">
        <v>73</v>
      </c>
      <c r="L19" s="639"/>
      <c r="AO19" s="369"/>
    </row>
    <row r="20" spans="1:41" ht="18">
      <c r="A20" s="385" t="s">
        <v>118</v>
      </c>
      <c r="B20" s="386">
        <f>ACT!$BK$14</f>
        <v>934.37196936494695</v>
      </c>
      <c r="C20" s="387">
        <f>ACT!$BK$10</f>
        <v>198.50503867761728</v>
      </c>
      <c r="D20" s="387">
        <f>ACT!$BK$11</f>
        <v>704.5913880702069</v>
      </c>
      <c r="E20" s="388">
        <f>ACT!$BK$12</f>
        <v>31.275542617122831</v>
      </c>
      <c r="F20" s="587">
        <f>ACT!$BL$14</f>
        <v>2.5598267719091323</v>
      </c>
      <c r="G20" s="602">
        <f>ACT!$BL$10</f>
        <v>0.54382893432813761</v>
      </c>
      <c r="H20" s="602">
        <f>ACT!$BL$11</f>
        <v>1.9303146472433077</v>
      </c>
      <c r="I20" s="391">
        <f>ACT!$BL$12</f>
        <v>8.5683190337686829E-2</v>
      </c>
      <c r="J20" s="392">
        <f>ACT!$BK$13</f>
        <v>0.78755244679211356</v>
      </c>
      <c r="AO20" s="367"/>
    </row>
    <row r="21" spans="1:41">
      <c r="A21" s="377" t="s">
        <v>119</v>
      </c>
      <c r="B21" s="393">
        <f>NSW!$BK$14</f>
        <v>17130.999660851186</v>
      </c>
      <c r="C21" s="394">
        <f>NSW!$BK$10</f>
        <v>5935.9745797020696</v>
      </c>
      <c r="D21" s="394">
        <f>NSW!$BK$11</f>
        <v>10712.5</v>
      </c>
      <c r="E21" s="395">
        <f>NSW!$BK$12</f>
        <v>482.52508114911836</v>
      </c>
      <c r="F21" s="588">
        <f>NSW!$BL$14</f>
        <v>2.3835051949486949</v>
      </c>
      <c r="G21" s="487">
        <f>NSW!$BL$10</f>
        <v>0.82589612561467329</v>
      </c>
      <c r="H21" s="487">
        <f>NSW!$BL$11</f>
        <v>1.4904734053108508</v>
      </c>
      <c r="I21" s="398">
        <f>NSW!$BL$12</f>
        <v>6.7135664023171157E-2</v>
      </c>
      <c r="J21" s="399">
        <f>NSW!$BK$13</f>
        <v>0.65349514346980453</v>
      </c>
      <c r="L21" s="514"/>
      <c r="AO21" s="369"/>
    </row>
    <row r="22" spans="1:41">
      <c r="A22" s="377" t="s">
        <v>120</v>
      </c>
      <c r="B22" s="393">
        <f>NT!$BK$14</f>
        <v>304.09977280842378</v>
      </c>
      <c r="C22" s="394">
        <f>NT!$BK$10</f>
        <v>276.27568802498115</v>
      </c>
      <c r="D22" s="394">
        <f>NT!$BK$11</f>
        <v>13.992091369799335</v>
      </c>
      <c r="E22" s="395">
        <f>NT!$BK$12</f>
        <v>13.831993413643296</v>
      </c>
      <c r="F22" s="588">
        <f>NT!$BL$14</f>
        <v>1.3179154852299906</v>
      </c>
      <c r="G22" s="487">
        <f>NT!$BL$10</f>
        <v>1.1973307447028994</v>
      </c>
      <c r="H22" s="487">
        <f>NT!$BL$11</f>
        <v>6.0639288601601483E-2</v>
      </c>
      <c r="I22" s="398">
        <f>NT!$BL$12</f>
        <v>5.9945451925489814E-2</v>
      </c>
      <c r="J22" s="399">
        <f>NT!$BK$13</f>
        <v>9.1496565507042313E-2</v>
      </c>
    </row>
    <row r="23" spans="1:41">
      <c r="A23" s="377" t="s">
        <v>121</v>
      </c>
      <c r="B23" s="393">
        <f>Qld!$BK$61</f>
        <v>7508.3015370000003</v>
      </c>
      <c r="C23" s="394">
        <f>Qld!$BK$57</f>
        <v>3579.0600809148996</v>
      </c>
      <c r="D23" s="394">
        <f>Qld!$BK$58</f>
        <v>3573.6625370000002</v>
      </c>
      <c r="E23" s="395">
        <f>Qld!$BK$59</f>
        <v>355.57891908509981</v>
      </c>
      <c r="F23" s="588">
        <f>Qld!$BL$61</f>
        <v>1.6832232281428705</v>
      </c>
      <c r="G23" s="487">
        <f>Qld!$BL$57</f>
        <v>0.80345794974283147</v>
      </c>
      <c r="H23" s="487">
        <f>Qld!$BL$58</f>
        <v>0.80224626302356206</v>
      </c>
      <c r="I23" s="398">
        <f>Qld!$BL$59</f>
        <v>7.7519015376476777E-2</v>
      </c>
      <c r="J23" s="399">
        <f>Qld!$BK$60</f>
        <v>0.5233196131937794</v>
      </c>
      <c r="AO23" s="369"/>
    </row>
    <row r="24" spans="1:41">
      <c r="A24" s="377" t="s">
        <v>122</v>
      </c>
      <c r="B24" s="393">
        <f>SA!$BK$14</f>
        <v>3865.8448421839944</v>
      </c>
      <c r="C24" s="394">
        <f>SA!$BK$10</f>
        <v>882.73499038925763</v>
      </c>
      <c r="D24" s="394">
        <f>SA!$BK$11</f>
        <v>2846.9</v>
      </c>
      <c r="E24" s="395">
        <f>SA!$BK$12</f>
        <v>136.20985179473655</v>
      </c>
      <c r="F24" s="588">
        <f>SA!$BL$14</f>
        <v>2.3645865658959186</v>
      </c>
      <c r="G24" s="487">
        <f>SA!$BL$10</f>
        <v>0.53993457697631952</v>
      </c>
      <c r="H24" s="487">
        <f>SA!$BL$11</f>
        <v>1.7413377332148747</v>
      </c>
      <c r="I24" s="398">
        <f>SA!$BL$12</f>
        <v>8.3314255704724643E-2</v>
      </c>
      <c r="J24" s="399">
        <f>SA!$BK$13</f>
        <v>0.77165793599451349</v>
      </c>
    </row>
    <row r="25" spans="1:41">
      <c r="A25" s="377" t="s">
        <v>123</v>
      </c>
      <c r="B25" s="393">
        <f>Tas!$BK$14</f>
        <v>602.42813338168469</v>
      </c>
      <c r="C25" s="394">
        <f>Tas!$BK$10</f>
        <v>405.71007966823214</v>
      </c>
      <c r="D25" s="394">
        <f>Tas!$BK$11</f>
        <v>156.87599999999998</v>
      </c>
      <c r="E25" s="395">
        <f>Tas!$BK$12</f>
        <v>39.842053713452579</v>
      </c>
      <c r="F25" s="588">
        <f>Tas!$BL$14</f>
        <v>1.1807483375808132</v>
      </c>
      <c r="G25" s="487">
        <f>Tas!$BL$10</f>
        <v>0.79518448021174115</v>
      </c>
      <c r="H25" s="487">
        <f>Tas!$BL$11</f>
        <v>0.30747414661155842</v>
      </c>
      <c r="I25" s="398">
        <f>Tas!$BL$12</f>
        <v>7.8089710757513614E-2</v>
      </c>
      <c r="J25" s="399">
        <f>Tas!$BK$13</f>
        <v>0.32654194386505597</v>
      </c>
      <c r="AO25" s="369"/>
    </row>
    <row r="26" spans="1:41">
      <c r="A26" s="377" t="s">
        <v>124</v>
      </c>
      <c r="B26" s="393">
        <f>Vic!$BK$14</f>
        <v>12028.475266250001</v>
      </c>
      <c r="C26" s="394">
        <f>Vic!$BK$10</f>
        <v>4558.5433860114072</v>
      </c>
      <c r="D26" s="394">
        <f>Vic!$BK$11</f>
        <v>7168.65</v>
      </c>
      <c r="E26" s="395">
        <f>Vic!$BK$12</f>
        <v>301.28188023859303</v>
      </c>
      <c r="F26" s="588">
        <f>Vic!$BL$14</f>
        <v>2.1831062990827297</v>
      </c>
      <c r="G26" s="487">
        <f>Vic!$BL$10</f>
        <v>0.82735214234230936</v>
      </c>
      <c r="H26" s="487">
        <f>Vic!$BL$11</f>
        <v>1.3010730474568648</v>
      </c>
      <c r="I26" s="398">
        <f>Vic!$BL$12</f>
        <v>5.4681109283555532E-2</v>
      </c>
      <c r="J26" s="399">
        <f>Vic!$BK$13</f>
        <v>0.62102067925417281</v>
      </c>
    </row>
    <row r="27" spans="1:41">
      <c r="A27" s="377" t="s">
        <v>125</v>
      </c>
      <c r="B27" s="393">
        <f>WA!$BK$14</f>
        <v>5956.8404949816859</v>
      </c>
      <c r="C27" s="394">
        <f>WA!$BK$10</f>
        <v>3661.9019421374942</v>
      </c>
      <c r="D27" s="394">
        <f>WA!$BK$11</f>
        <v>2136.1732386302006</v>
      </c>
      <c r="E27" s="395">
        <f>WA!$BK$12</f>
        <v>158.76531421399099</v>
      </c>
      <c r="F27" s="589">
        <f>WA!$BL$14</f>
        <v>2.557093950384175</v>
      </c>
      <c r="G27" s="603">
        <f>WA!$BL$10</f>
        <v>1.5719452805607879</v>
      </c>
      <c r="H27" s="603">
        <f>WA!$BL$11</f>
        <v>0.91699545590915632</v>
      </c>
      <c r="I27" s="402">
        <f>WA!$BL$12</f>
        <v>6.8153213914230751E-2</v>
      </c>
      <c r="J27" s="399">
        <f>WA!$BK$13</f>
        <v>0.38526103809184625</v>
      </c>
      <c r="AO27" s="369"/>
    </row>
    <row r="28" spans="1:41">
      <c r="A28" s="403" t="s">
        <v>242</v>
      </c>
      <c r="B28" s="404">
        <f>SUM(B20:B27)</f>
        <v>48331.361676821914</v>
      </c>
      <c r="C28" s="405">
        <f>SUM(C20:C27)</f>
        <v>19498.705785525959</v>
      </c>
      <c r="D28" s="405">
        <f>SUM(D20:D27)</f>
        <v>27313.345255070202</v>
      </c>
      <c r="E28" s="406">
        <f>SUM(E20:E27)</f>
        <v>1519.3106362257572</v>
      </c>
      <c r="F28" s="604">
        <f>B28*1000/[2]Popn!$J$43</f>
        <v>2.1749256109354191</v>
      </c>
      <c r="G28" s="605">
        <f>C28*1000/[2]Popn!$J$43</f>
        <v>0.8774475438247914</v>
      </c>
      <c r="H28" s="605">
        <f>D28*1000/[2]Popn!$J$43</f>
        <v>1.2291086378404683</v>
      </c>
      <c r="I28" s="409">
        <f>E28*1000/[2]Popn!$J$43</f>
        <v>6.8369429270159751E-2</v>
      </c>
      <c r="J28" s="410">
        <f>SUM(D28:E28)/B28</f>
        <v>0.59656204358759302</v>
      </c>
    </row>
    <row r="29" spans="1:41">
      <c r="A29" s="377"/>
      <c r="B29" s="377"/>
      <c r="C29" s="377"/>
      <c r="D29" s="377"/>
      <c r="E29" s="377"/>
      <c r="F29" s="377"/>
      <c r="G29" s="377"/>
      <c r="H29" s="377"/>
      <c r="I29" s="377"/>
      <c r="J29" s="377"/>
      <c r="N29" s="364" t="s">
        <v>142</v>
      </c>
      <c r="AO29" s="369"/>
    </row>
    <row r="30" spans="1:41">
      <c r="A30" s="375" t="s">
        <v>130</v>
      </c>
      <c r="B30" s="376"/>
      <c r="C30" s="376"/>
      <c r="D30" s="376"/>
      <c r="E30" s="376"/>
      <c r="F30" s="376"/>
      <c r="G30" s="377"/>
      <c r="H30" s="377"/>
      <c r="I30" s="377"/>
      <c r="J30" s="377"/>
      <c r="N30" s="374"/>
      <c r="O30" s="365" t="s">
        <v>134</v>
      </c>
    </row>
    <row r="31" spans="1:41">
      <c r="A31" s="375"/>
      <c r="B31" s="378" t="s">
        <v>127</v>
      </c>
      <c r="C31" s="379"/>
      <c r="D31" s="379"/>
      <c r="E31" s="380"/>
      <c r="F31" s="378" t="s">
        <v>128</v>
      </c>
      <c r="G31" s="377"/>
      <c r="H31" s="377"/>
      <c r="I31" s="377"/>
      <c r="J31" s="377"/>
      <c r="N31" s="365" t="s">
        <v>145</v>
      </c>
    </row>
    <row r="32" spans="1:41" ht="30">
      <c r="A32" s="377"/>
      <c r="B32" s="381" t="s">
        <v>78</v>
      </c>
      <c r="C32" s="382" t="s">
        <v>72</v>
      </c>
      <c r="D32" s="382" t="s">
        <v>68</v>
      </c>
      <c r="E32" s="383" t="s">
        <v>69</v>
      </c>
      <c r="F32" s="384" t="s">
        <v>78</v>
      </c>
      <c r="G32" s="382" t="s">
        <v>72</v>
      </c>
      <c r="H32" s="382" t="s">
        <v>68</v>
      </c>
      <c r="I32" s="382" t="s">
        <v>69</v>
      </c>
      <c r="J32" s="381" t="s">
        <v>73</v>
      </c>
      <c r="O32" s="666" t="s">
        <v>146</v>
      </c>
      <c r="P32" s="476"/>
      <c r="Q32" s="476"/>
      <c r="R32" s="476"/>
      <c r="S32" s="477"/>
      <c r="T32" s="364" t="s">
        <v>87</v>
      </c>
      <c r="U32" s="672"/>
      <c r="V32" s="677"/>
      <c r="W32" s="672"/>
    </row>
    <row r="33" spans="1:24" ht="46.5" customHeight="1">
      <c r="A33" s="385" t="s">
        <v>118</v>
      </c>
      <c r="B33" s="386">
        <f>ACT!$BK$61</f>
        <v>737.8645066398642</v>
      </c>
      <c r="C33" s="387">
        <f>ACT!$BK$57</f>
        <v>148.33528008545989</v>
      </c>
      <c r="D33" s="387">
        <f>ACT!$BK$58</f>
        <v>559.85603770318812</v>
      </c>
      <c r="E33" s="388">
        <f>ACT!$BK$59</f>
        <v>29.673188851216231</v>
      </c>
      <c r="F33" s="389">
        <f>ACT!$BL$61</f>
        <v>2.0605531468717109</v>
      </c>
      <c r="G33" s="390">
        <f>ACT!$BL$57</f>
        <v>0.41423964077645142</v>
      </c>
      <c r="H33" s="390">
        <f>ACT!$BL$58</f>
        <v>1.5634484514478553</v>
      </c>
      <c r="I33" s="391">
        <f>ACT!$BL$59</f>
        <v>8.2865054647404041E-2</v>
      </c>
      <c r="J33" s="392">
        <f>ACT!$BK$60</f>
        <v>0.7989667767582983</v>
      </c>
      <c r="N33" s="413"/>
      <c r="O33" s="478" t="s">
        <v>83</v>
      </c>
      <c r="P33" s="479" t="s">
        <v>133</v>
      </c>
      <c r="Q33" s="480" t="s">
        <v>82</v>
      </c>
      <c r="R33" s="480" t="s">
        <v>81</v>
      </c>
      <c r="S33" s="481" t="s">
        <v>64</v>
      </c>
      <c r="T33" s="482" t="s">
        <v>64</v>
      </c>
      <c r="U33" s="675" t="s">
        <v>262</v>
      </c>
      <c r="V33" s="678" t="s">
        <v>260</v>
      </c>
      <c r="W33" s="675" t="s">
        <v>200</v>
      </c>
      <c r="X33" s="518"/>
    </row>
    <row r="34" spans="1:24">
      <c r="A34" s="377" t="s">
        <v>119</v>
      </c>
      <c r="B34" s="393"/>
      <c r="C34" s="394" t="s">
        <v>129</v>
      </c>
      <c r="D34" s="394"/>
      <c r="E34" s="395"/>
      <c r="F34" s="396"/>
      <c r="G34" s="397"/>
      <c r="H34" s="397"/>
      <c r="I34" s="398"/>
      <c r="J34" s="399"/>
      <c r="N34" s="419" t="s">
        <v>72</v>
      </c>
      <c r="O34" s="432">
        <f>$C134/1000</f>
        <v>21.540479535247925</v>
      </c>
      <c r="P34" s="473">
        <f>AVERAGE(O34,Q34)</f>
        <v>21.002020332012066</v>
      </c>
      <c r="Q34" s="433">
        <f>$C121/1000</f>
        <v>20.46356112877621</v>
      </c>
      <c r="R34" s="433">
        <f>$C108/1000</f>
        <v>21.264492343506141</v>
      </c>
      <c r="S34" s="660">
        <f>$C82/1000</f>
        <v>19.49870578552596</v>
      </c>
      <c r="T34" s="607">
        <f>C95/1000</f>
        <v>27.161596285525956</v>
      </c>
      <c r="U34" s="679">
        <f>(S34-O34)/O34</f>
        <v>-9.4787757458272628E-2</v>
      </c>
      <c r="V34" s="691">
        <f>(S34/O34)^(1/4)-1</f>
        <v>-2.4589099309554663E-2</v>
      </c>
      <c r="W34" s="676">
        <f>(T34-S34)/S34</f>
        <v>0.39299482664578789</v>
      </c>
    </row>
    <row r="35" spans="1:24">
      <c r="A35" s="377" t="s">
        <v>120</v>
      </c>
      <c r="B35" s="393"/>
      <c r="C35" s="394" t="s">
        <v>129</v>
      </c>
      <c r="D35" s="394"/>
      <c r="E35" s="395"/>
      <c r="F35" s="396"/>
      <c r="G35" s="397"/>
      <c r="H35" s="397"/>
      <c r="I35" s="398"/>
      <c r="J35" s="399"/>
      <c r="N35" s="419" t="s">
        <v>68</v>
      </c>
      <c r="O35" s="431">
        <f>$D134/1000</f>
        <v>21.43076783713072</v>
      </c>
      <c r="P35" s="474">
        <f>AVERAGE(O35,Q35)</f>
        <v>22.39486986402251</v>
      </c>
      <c r="Q35" s="435">
        <f>$D121/1000</f>
        <v>23.358971890914304</v>
      </c>
      <c r="R35" s="435">
        <f>$D108/1000</f>
        <v>25.126464271633132</v>
      </c>
      <c r="S35" s="661">
        <f>$D82/1000</f>
        <v>27.313345255070203</v>
      </c>
      <c r="T35" s="606">
        <f>D95/1000</f>
        <v>33.251651255070207</v>
      </c>
      <c r="U35" s="680">
        <f>(S35-O35)/O35</f>
        <v>0.27449214431539837</v>
      </c>
      <c r="V35" s="692">
        <f>(S35/O35)^(1/4)-1</f>
        <v>6.2513093749197335E-2</v>
      </c>
      <c r="W35" s="674">
        <f>(T35-S35)/S35</f>
        <v>0.21741408621112315</v>
      </c>
    </row>
    <row r="36" spans="1:24">
      <c r="A36" s="377" t="s">
        <v>121</v>
      </c>
      <c r="B36" s="393">
        <f>Qld!$BK$108</f>
        <v>7583.7770519999995</v>
      </c>
      <c r="C36" s="394">
        <f>Qld!$BK$104</f>
        <v>4158.7888643757833</v>
      </c>
      <c r="D36" s="394">
        <f>Qld!$BK$105</f>
        <v>3070.2640519999995</v>
      </c>
      <c r="E36" s="395">
        <f>Qld!$BK$106</f>
        <v>354.72413562421684</v>
      </c>
      <c r="F36" s="396">
        <f>Qld!$BL$108</f>
        <v>1.7196606845867359</v>
      </c>
      <c r="G36" s="397">
        <f>Qld!$BL$104</f>
        <v>0.94435056608011492</v>
      </c>
      <c r="H36" s="397">
        <f>Qld!$BL$105</f>
        <v>0.69717547345525466</v>
      </c>
      <c r="I36" s="398">
        <f>Qld!$BL$106</f>
        <v>7.8134645051366428E-2</v>
      </c>
      <c r="J36" s="399">
        <f>Qld!$BK$107</f>
        <v>0.4516203686026049</v>
      </c>
      <c r="N36" s="416" t="s">
        <v>69</v>
      </c>
      <c r="O36" s="543">
        <f>$E134/1000</f>
        <v>1.3187269606495688</v>
      </c>
      <c r="P36" s="544">
        <f>AVERAGE(O36,Q36)</f>
        <v>1.3870320196807393</v>
      </c>
      <c r="Q36" s="545">
        <f>$E121/1000</f>
        <v>1.45533707871191</v>
      </c>
      <c r="R36" s="545">
        <f>$E108/1000</f>
        <v>1.4727095408304951</v>
      </c>
      <c r="S36" s="662">
        <f>$E82/1000</f>
        <v>1.5193106362257571</v>
      </c>
      <c r="T36" s="629">
        <f>E95/1000</f>
        <v>1.5193106362257571</v>
      </c>
      <c r="U36" s="680">
        <f>(S36-O36)/O36</f>
        <v>0.1521040227139864</v>
      </c>
      <c r="V36" s="692">
        <f>(S36/O36)^(1/4)-1</f>
        <v>3.6031412084976067E-2</v>
      </c>
      <c r="W36" s="674">
        <f>(T36-S36)/S36</f>
        <v>0</v>
      </c>
    </row>
    <row r="37" spans="1:24">
      <c r="A37" s="377" t="s">
        <v>122</v>
      </c>
      <c r="B37" s="393">
        <f>SA!$BK$61</f>
        <v>3374.1239839192222</v>
      </c>
      <c r="C37" s="394">
        <f>SA!$BK$57</f>
        <v>897.54962834534399</v>
      </c>
      <c r="D37" s="394">
        <f>SA!$BK$58</f>
        <v>2340.1799999999998</v>
      </c>
      <c r="E37" s="395">
        <f>SA!$BK$59</f>
        <v>136.39435557387827</v>
      </c>
      <c r="F37" s="396">
        <f>SA!$BL$61</f>
        <v>2.0643843486060374</v>
      </c>
      <c r="G37" s="397">
        <f>SA!$BL$57</f>
        <v>0.5524997327497847</v>
      </c>
      <c r="H37" s="397">
        <f>SA!$BL$58</f>
        <v>1.4279250857943093</v>
      </c>
      <c r="I37" s="398">
        <f>SA!$BL$59</f>
        <v>8.3959530061943219E-2</v>
      </c>
      <c r="J37" s="399">
        <f>SA!$BK$60</f>
        <v>0.73399032382242424</v>
      </c>
      <c r="N37" s="419" t="s">
        <v>73</v>
      </c>
      <c r="O37" s="434">
        <f>SUM(O35:O36)/O38</f>
        <v>0.51364885937211724</v>
      </c>
      <c r="P37" s="475">
        <f>SUM(P35:P36)/P38</f>
        <v>0.53103660213481352</v>
      </c>
      <c r="Q37" s="472">
        <f>SUM(Q35:Q36)/Q38</f>
        <v>0.54804497021828247</v>
      </c>
      <c r="R37" s="472">
        <f>SUM(R35:R36)/R38</f>
        <v>0.55572788189243338</v>
      </c>
      <c r="S37" s="663">
        <f>SUM(S35:S36)/S38</f>
        <v>0.59656204358759313</v>
      </c>
      <c r="T37" s="590">
        <f>J95</f>
        <v>0.56143267636422134</v>
      </c>
      <c r="U37" s="679">
        <f>(S37-O37)/O37</f>
        <v>0.16141997145059117</v>
      </c>
      <c r="V37" s="691">
        <f>(S37/O37)^(1/4)-1</f>
        <v>3.8119436775756022E-2</v>
      </c>
      <c r="W37" s="676">
        <f>(T37-S37)/S37</f>
        <v>-5.8886359936866729E-2</v>
      </c>
    </row>
    <row r="38" spans="1:24">
      <c r="A38" s="377" t="s">
        <v>123</v>
      </c>
      <c r="B38" s="393">
        <f>Tas!$BK$61</f>
        <v>525.09750606681803</v>
      </c>
      <c r="C38" s="394">
        <f>Tas!$BK$57</f>
        <v>347.97783455364555</v>
      </c>
      <c r="D38" s="394">
        <f>Tas!$BK$58</f>
        <v>137.15100000000001</v>
      </c>
      <c r="E38" s="395">
        <f>Tas!$BK$59</f>
        <v>39.968671513172453</v>
      </c>
      <c r="F38" s="396">
        <f>Tas!$BL$61</f>
        <v>1.0360293823882416</v>
      </c>
      <c r="G38" s="397">
        <f>Tas!$BL$57</f>
        <v>0.68656822181047639</v>
      </c>
      <c r="H38" s="487">
        <f>Tas!$BL$58</f>
        <v>0.27060205806014365</v>
      </c>
      <c r="I38" s="398">
        <f>Tas!$BL$59</f>
        <v>7.8859102517621474E-2</v>
      </c>
      <c r="J38" s="399">
        <f>Tas!$BK$60</f>
        <v>0.33730815604108816</v>
      </c>
      <c r="N38" s="419" t="s">
        <v>78</v>
      </c>
      <c r="O38" s="431">
        <f>SUM(O34:O36)</f>
        <v>44.289974333028212</v>
      </c>
      <c r="P38" s="474">
        <f>SUM(P34:P36)</f>
        <v>44.783922215715315</v>
      </c>
      <c r="Q38" s="435">
        <f>SUM(Q34:Q36)</f>
        <v>45.277870098402417</v>
      </c>
      <c r="R38" s="435">
        <f>SUM(R34:R36)</f>
        <v>47.863666155969767</v>
      </c>
      <c r="S38" s="661">
        <f>SUM(S34:S36)</f>
        <v>48.331361676821913</v>
      </c>
      <c r="T38" s="606">
        <f>B95/1000</f>
        <v>61.932558176821921</v>
      </c>
      <c r="U38" s="680">
        <f>(S38-O38)/O38</f>
        <v>9.1248355968902226E-2</v>
      </c>
      <c r="V38" s="692">
        <f>(S38/O38)^(1/4)-1</f>
        <v>2.207061101055352E-2</v>
      </c>
      <c r="W38" s="674">
        <f>(T38-S38)/S38</f>
        <v>0.28141554527156393</v>
      </c>
    </row>
    <row r="39" spans="1:24">
      <c r="A39" s="377" t="s">
        <v>124</v>
      </c>
      <c r="B39" s="393">
        <f>Vic!$BK$61</f>
        <v>11649.68939415</v>
      </c>
      <c r="C39" s="394">
        <f>Vic!$BK$57</f>
        <v>4383.1232070778296</v>
      </c>
      <c r="D39" s="394">
        <f>Vic!$BK$58</f>
        <v>6979.8838000000005</v>
      </c>
      <c r="E39" s="395">
        <f>Vic!$BK$59</f>
        <v>286.68238707216881</v>
      </c>
      <c r="F39" s="396">
        <f>Vic!$BL$61</f>
        <v>2.1394137756577529</v>
      </c>
      <c r="G39" s="397">
        <f>Vic!$BL$57</f>
        <v>0.8049411321074712</v>
      </c>
      <c r="H39" s="397">
        <f>Vic!$BL$58</f>
        <v>1.2818246949750487</v>
      </c>
      <c r="I39" s="398">
        <f>Vic!$BL$59</f>
        <v>5.2647948575232958E-2</v>
      </c>
      <c r="J39" s="399">
        <f>Vic!$BK$60</f>
        <v>0.62375621711606688</v>
      </c>
      <c r="V39" s="648"/>
    </row>
    <row r="40" spans="1:24">
      <c r="A40" s="377" t="s">
        <v>125</v>
      </c>
      <c r="B40" s="393">
        <f>WA!$BK$61</f>
        <v>6995.0812234058149</v>
      </c>
      <c r="C40" s="394">
        <f>WA!$BK$57</f>
        <v>4931.8229091918247</v>
      </c>
      <c r="D40" s="394">
        <f>WA!$BK$58</f>
        <v>1904.4929999999999</v>
      </c>
      <c r="E40" s="395">
        <f>WA!$BK$59</f>
        <v>158.76531421399099</v>
      </c>
      <c r="F40" s="400">
        <f>WA!$BL$61</f>
        <v>3.0654059388028325</v>
      </c>
      <c r="G40" s="401">
        <f>WA!$BL$57</f>
        <v>2.1655535133950461</v>
      </c>
      <c r="H40" s="401">
        <f>WA!$BL$58</f>
        <v>0.83013889547535868</v>
      </c>
      <c r="I40" s="402">
        <f>WA!$BL$59</f>
        <v>6.9713529932427645E-2</v>
      </c>
      <c r="J40" s="399">
        <f>WA!$BK$60</f>
        <v>0.29495844984762265</v>
      </c>
      <c r="V40" s="648"/>
    </row>
    <row r="41" spans="1:24">
      <c r="A41" s="403" t="s">
        <v>242</v>
      </c>
      <c r="B41" s="404"/>
      <c r="C41" s="405"/>
      <c r="D41" s="405"/>
      <c r="E41" s="406"/>
      <c r="F41" s="407"/>
      <c r="G41" s="408"/>
      <c r="H41" s="408"/>
      <c r="I41" s="409"/>
      <c r="J41" s="410"/>
      <c r="N41" s="364" t="s">
        <v>143</v>
      </c>
      <c r="T41" s="591"/>
      <c r="U41" s="648"/>
      <c r="V41" s="648"/>
    </row>
    <row r="42" spans="1:24" ht="30">
      <c r="A42" s="377"/>
      <c r="B42" s="377"/>
      <c r="C42" s="377"/>
      <c r="D42" s="377"/>
      <c r="E42" s="377"/>
      <c r="F42" s="377"/>
      <c r="G42" s="377"/>
      <c r="H42" s="377"/>
      <c r="I42" s="377"/>
      <c r="J42" s="377"/>
      <c r="O42" s="666" t="s">
        <v>146</v>
      </c>
      <c r="P42" s="476"/>
      <c r="Q42" s="476"/>
      <c r="R42" s="476"/>
      <c r="S42" s="477"/>
      <c r="T42" s="683" t="s">
        <v>87</v>
      </c>
      <c r="U42" s="681"/>
      <c r="V42" s="648"/>
      <c r="W42" s="672"/>
    </row>
    <row r="43" spans="1:24" ht="30">
      <c r="A43" s="375" t="s">
        <v>131</v>
      </c>
      <c r="B43" s="376"/>
      <c r="C43" s="376"/>
      <c r="D43" s="376"/>
      <c r="E43" s="376"/>
      <c r="F43" s="376"/>
      <c r="G43" s="377"/>
      <c r="H43" s="377"/>
      <c r="I43" s="377"/>
      <c r="J43" s="377"/>
      <c r="N43" s="413"/>
      <c r="O43" s="478" t="s">
        <v>83</v>
      </c>
      <c r="P43" s="479" t="s">
        <v>133</v>
      </c>
      <c r="Q43" s="480" t="s">
        <v>82</v>
      </c>
      <c r="R43" s="480" t="s">
        <v>81</v>
      </c>
      <c r="S43" s="481" t="s">
        <v>64</v>
      </c>
      <c r="T43" s="592" t="s">
        <v>64</v>
      </c>
      <c r="U43" s="673" t="s">
        <v>262</v>
      </c>
      <c r="V43" s="693" t="s">
        <v>258</v>
      </c>
      <c r="W43" s="673" t="s">
        <v>200</v>
      </c>
    </row>
    <row r="44" spans="1:24">
      <c r="A44" s="375"/>
      <c r="B44" s="378" t="s">
        <v>127</v>
      </c>
      <c r="C44" s="379"/>
      <c r="D44" s="379"/>
      <c r="E44" s="380"/>
      <c r="F44" s="378" t="s">
        <v>128</v>
      </c>
      <c r="G44" s="377"/>
      <c r="H44" s="377"/>
      <c r="I44" s="377"/>
      <c r="J44" s="377"/>
      <c r="N44" s="419" t="s">
        <v>72</v>
      </c>
      <c r="O44" s="540">
        <f>O34/[2]Popn!$J$40*1000000</f>
        <v>1.0309826006413236</v>
      </c>
      <c r="P44" s="546">
        <f>AVERAGE(O44,Q44)</f>
        <v>0.98839170778949192</v>
      </c>
      <c r="Q44" s="547">
        <f>Q34/[2]Popn!$J$41*1000000</f>
        <v>0.94580081493766033</v>
      </c>
      <c r="R44" s="547">
        <f>R34/[2]Popn!$J$42*1000000</f>
        <v>0.96810563659586502</v>
      </c>
      <c r="S44" s="547">
        <f>S34/[2]Popn!$J$43*1000000</f>
        <v>0.8774475438247914</v>
      </c>
      <c r="T44" s="628">
        <f>G95</f>
        <v>1.2222798892009876</v>
      </c>
      <c r="U44" s="680">
        <f>(S44-O44)/O44</f>
        <v>-0.14892109403303763</v>
      </c>
      <c r="V44" s="647">
        <f>(S44/O44)^(1/4)-1</f>
        <v>-3.9510864669777601E-2</v>
      </c>
      <c r="W44" s="674">
        <f>(T44-S44)/S44</f>
        <v>0.39299482664578783</v>
      </c>
    </row>
    <row r="45" spans="1:24" ht="30">
      <c r="A45" s="377"/>
      <c r="B45" s="381" t="s">
        <v>78</v>
      </c>
      <c r="C45" s="382" t="s">
        <v>72</v>
      </c>
      <c r="D45" s="382" t="s">
        <v>68</v>
      </c>
      <c r="E45" s="383" t="s">
        <v>69</v>
      </c>
      <c r="F45" s="384" t="s">
        <v>78</v>
      </c>
      <c r="G45" s="382" t="s">
        <v>72</v>
      </c>
      <c r="H45" s="382" t="s">
        <v>68</v>
      </c>
      <c r="I45" s="382" t="s">
        <v>69</v>
      </c>
      <c r="J45" s="381" t="s">
        <v>73</v>
      </c>
      <c r="N45" s="419" t="s">
        <v>68</v>
      </c>
      <c r="O45" s="540">
        <f>O35/[2]Popn!$J$40*1000000</f>
        <v>1.025731517365273</v>
      </c>
      <c r="P45" s="541">
        <f>AVERAGE(O45,Q45)</f>
        <v>1.0526773416105266</v>
      </c>
      <c r="Q45" s="542">
        <f>Q35/[2]Popn!$J$41*1000000</f>
        <v>1.07962316585578</v>
      </c>
      <c r="R45" s="542">
        <f>R35/[2]Popn!$J$42*1000000</f>
        <v>1.1439291047322446</v>
      </c>
      <c r="S45" s="542">
        <f>S35/[2]Popn!$J$43*1000000</f>
        <v>1.2291086378404683</v>
      </c>
      <c r="T45" s="626">
        <f>H95</f>
        <v>1.4963341691907521</v>
      </c>
      <c r="U45" s="680">
        <f>(S45-O45)/O45</f>
        <v>0.19827519875531982</v>
      </c>
      <c r="V45" s="647">
        <f>(S45/O45)^(1/4)-1</f>
        <v>4.6258845343866595E-2</v>
      </c>
      <c r="W45" s="674">
        <f>(T45-S45)/S45</f>
        <v>0.21741408621112324</v>
      </c>
    </row>
    <row r="46" spans="1:24">
      <c r="A46" s="385" t="s">
        <v>118</v>
      </c>
      <c r="B46" s="386">
        <f>ACT!$BK$108</f>
        <v>739.37598078339249</v>
      </c>
      <c r="C46" s="387">
        <f>ACT!$BK$104</f>
        <v>152.26891904536302</v>
      </c>
      <c r="D46" s="387">
        <f>ACT!$BK$105</f>
        <v>556.10340303686348</v>
      </c>
      <c r="E46" s="388">
        <f>ACT!$BK$106</f>
        <v>31.003658701166092</v>
      </c>
      <c r="F46" s="389">
        <f>ACT!$BL$108</f>
        <v>2.1052951738324222</v>
      </c>
      <c r="G46" s="390">
        <f>ACT!$BL$104</f>
        <v>0.43356969758637193</v>
      </c>
      <c r="H46" s="390">
        <f>ACT!$BL$105</f>
        <v>1.5834458259312607</v>
      </c>
      <c r="I46" s="391">
        <f>ACT!$BL$106</f>
        <v>8.8279650314789709E-2</v>
      </c>
      <c r="J46" s="392">
        <f>ACT!$BK$107</f>
        <v>0.79405752553115239</v>
      </c>
      <c r="N46" s="416" t="s">
        <v>69</v>
      </c>
      <c r="O46" s="550">
        <f>O36/[2]Popn!$J$40*1000000</f>
        <v>6.3117654795082662E-2</v>
      </c>
      <c r="P46" s="551">
        <f>AVERAGE(O46,Q46)</f>
        <v>6.5190779001485732E-2</v>
      </c>
      <c r="Q46" s="552">
        <f>Q36/[2]Popn!$J$41*1000000</f>
        <v>6.7263903207888789E-2</v>
      </c>
      <c r="R46" s="552">
        <f>R36/[2]Popn!$J$42*1000000</f>
        <v>6.7047845982643919E-2</v>
      </c>
      <c r="S46" s="552">
        <f>S36/[2]Popn!$J$43*1000000</f>
        <v>6.8369429270159751E-2</v>
      </c>
      <c r="T46" s="627">
        <f>I95</f>
        <v>6.8369429270159751E-2</v>
      </c>
      <c r="U46" s="680">
        <f>(S46-O46)/O46</f>
        <v>8.3206109164344969E-2</v>
      </c>
      <c r="V46" s="647">
        <f>(S46/O46)^(1/4)-1</f>
        <v>2.0182278529046416E-2</v>
      </c>
      <c r="W46" s="674">
        <f>(T46-S46)/S46</f>
        <v>0</v>
      </c>
    </row>
    <row r="47" spans="1:24">
      <c r="A47" s="377" t="s">
        <v>119</v>
      </c>
      <c r="B47" s="393">
        <f>NSW!$BK$108</f>
        <v>16261.460685447322</v>
      </c>
      <c r="C47" s="394">
        <f>NSW!$BK$104</f>
        <v>6309.437777641886</v>
      </c>
      <c r="D47" s="394">
        <f>NSW!$BK$105</f>
        <v>9529</v>
      </c>
      <c r="E47" s="395">
        <f>NSW!$BK$106</f>
        <v>423.02290780543615</v>
      </c>
      <c r="F47" s="396">
        <f>NSW!$BL$108</f>
        <v>2.3107881819552851</v>
      </c>
      <c r="G47" s="397">
        <f>NSW!$BL$104</f>
        <v>0.89658454018246925</v>
      </c>
      <c r="H47" s="397">
        <f>NSW!$BL$105</f>
        <v>1.3540911860124329</v>
      </c>
      <c r="I47" s="398">
        <f>NSW!$BL$106</f>
        <v>6.0112455760383147E-2</v>
      </c>
      <c r="J47" s="399">
        <f>NSW!$BK$107</f>
        <v>0.61200055150714006</v>
      </c>
      <c r="N47" s="419" t="s">
        <v>73</v>
      </c>
      <c r="O47" s="434">
        <f>SUM(O45:O46)/O48</f>
        <v>0.51364885937211713</v>
      </c>
      <c r="P47" s="475">
        <f>SUM(P45:P46)/P48</f>
        <v>0.53073609700869229</v>
      </c>
      <c r="Q47" s="472">
        <f>SUM(Q45:Q46)/Q48</f>
        <v>0.54804497021828236</v>
      </c>
      <c r="R47" s="472">
        <f>SUM(R45:R46)/R48</f>
        <v>0.55572788189243338</v>
      </c>
      <c r="S47" s="472">
        <f>SUM(S45:S46)/S48</f>
        <v>0.59656204358759313</v>
      </c>
      <c r="T47" s="664">
        <f>J95</f>
        <v>0.56143267636422134</v>
      </c>
      <c r="U47" s="682">
        <f>(S47-O47)/O47</f>
        <v>0.16141997145059142</v>
      </c>
      <c r="V47" s="646">
        <f>(S47/O47)^(1/4)-1</f>
        <v>3.8119436775756022E-2</v>
      </c>
      <c r="W47" s="664">
        <f>(T47-S47)/S47</f>
        <v>-5.8886359936866729E-2</v>
      </c>
    </row>
    <row r="48" spans="1:24">
      <c r="A48" s="377" t="s">
        <v>120</v>
      </c>
      <c r="B48" s="393"/>
      <c r="C48" s="394" t="s">
        <v>129</v>
      </c>
      <c r="D48" s="394"/>
      <c r="E48" s="395"/>
      <c r="F48" s="396"/>
      <c r="G48" s="397"/>
      <c r="H48" s="397"/>
      <c r="I48" s="398"/>
      <c r="J48" s="399"/>
      <c r="N48" s="419" t="s">
        <v>78</v>
      </c>
      <c r="O48" s="540">
        <f>SUM(O44:O46)</f>
        <v>2.1198317728016796</v>
      </c>
      <c r="P48" s="541">
        <f>SUM(P44:P46)</f>
        <v>2.1062598284015044</v>
      </c>
      <c r="Q48" s="542">
        <f>SUM(Q44:Q46)</f>
        <v>2.0926878840013292</v>
      </c>
      <c r="R48" s="542">
        <f>SUM(R44:R46)</f>
        <v>2.1790825873107535</v>
      </c>
      <c r="S48" s="542">
        <f>SUM(S44:S46)</f>
        <v>2.1749256109354191</v>
      </c>
      <c r="T48" s="665">
        <f>F95</f>
        <v>2.7869834876618995</v>
      </c>
      <c r="U48" s="680">
        <f>(S48-O48)/O48</f>
        <v>2.5989721845203172E-2</v>
      </c>
      <c r="V48" s="647">
        <f>(S48/O48)^(1/4)-1</f>
        <v>6.4350487790019173E-3</v>
      </c>
      <c r="W48" s="674">
        <f>(T48-S48)/S48</f>
        <v>0.28141554527156398</v>
      </c>
    </row>
    <row r="49" spans="1:39">
      <c r="A49" s="377" t="s">
        <v>121</v>
      </c>
      <c r="B49" s="393">
        <f>Qld!$BK$155</f>
        <v>8099.2169999999996</v>
      </c>
      <c r="C49" s="394">
        <f>Qld!$BK$151</f>
        <v>4266.7255465599583</v>
      </c>
      <c r="D49" s="394">
        <f>Qld!$BK$152</f>
        <v>3498.259</v>
      </c>
      <c r="E49" s="395">
        <f>Qld!$BK$153</f>
        <v>334.23245344004096</v>
      </c>
      <c r="F49" s="396">
        <f>Qld!$BL$155</f>
        <v>1.8682056689817499</v>
      </c>
      <c r="G49" s="397">
        <f>Qld!$BL$151</f>
        <v>0.98507358145531265</v>
      </c>
      <c r="H49" s="397">
        <f>Qld!$BL$152</f>
        <v>0.80765507047122997</v>
      </c>
      <c r="I49" s="398">
        <f>Qld!$BL$153</f>
        <v>7.5477017055207249E-2</v>
      </c>
      <c r="J49" s="399">
        <f>Qld!$BK$154</f>
        <v>0.47319283499133818</v>
      </c>
    </row>
    <row r="50" spans="1:39">
      <c r="A50" s="377" t="s">
        <v>122</v>
      </c>
      <c r="B50" s="393">
        <f>SA!$BK$108</f>
        <v>3397.312894166043</v>
      </c>
      <c r="C50" s="394">
        <f>SA!$BK$104</f>
        <v>949.23035905019219</v>
      </c>
      <c r="D50" s="394">
        <f>SA!$BK$105</f>
        <v>2309.3719999999998</v>
      </c>
      <c r="E50" s="395">
        <f>SA!$BK$106</f>
        <v>138.71053511585114</v>
      </c>
      <c r="F50" s="396">
        <f>SA!$BL$108</f>
        <v>2.1043974326218309</v>
      </c>
      <c r="G50" s="397">
        <f>SA!$BL$104</f>
        <v>0.5903760395662393</v>
      </c>
      <c r="H50" s="397">
        <f>SA!$BL$105</f>
        <v>1.4277500516609156</v>
      </c>
      <c r="I50" s="398">
        <f>SA!$BL$106</f>
        <v>8.6271341394675974E-2</v>
      </c>
      <c r="J50" s="399">
        <f>SA!$BK$107</f>
        <v>0.72059377848880635</v>
      </c>
    </row>
    <row r="51" spans="1:39">
      <c r="A51" s="377" t="s">
        <v>123</v>
      </c>
      <c r="B51" s="393">
        <f>Tas!$BK$108</f>
        <v>507.22863184354492</v>
      </c>
      <c r="C51" s="394">
        <f>Tas!$BK$104</f>
        <v>343.12703839698634</v>
      </c>
      <c r="D51" s="394">
        <f>Tas!$BK$105</f>
        <v>112.49129288554649</v>
      </c>
      <c r="E51" s="395">
        <f>Tas!$BK$106</f>
        <v>51.610300561012075</v>
      </c>
      <c r="F51" s="396">
        <f>Tas!$BL$108</f>
        <v>1.0099232134204386</v>
      </c>
      <c r="G51" s="397">
        <f>Tas!$BL$104</f>
        <v>0.68318690916527514</v>
      </c>
      <c r="H51" s="488">
        <f>Tas!$BL$105</f>
        <v>0.22397704084621389</v>
      </c>
      <c r="I51" s="398">
        <f>Tas!$BL$106</f>
        <v>0.10275926340894967</v>
      </c>
      <c r="J51" s="399">
        <f>Tas!$BK$107</f>
        <v>0.32352588782325642</v>
      </c>
      <c r="Z51" s="365" t="s">
        <v>135</v>
      </c>
    </row>
    <row r="52" spans="1:39">
      <c r="A52" s="377" t="s">
        <v>124</v>
      </c>
      <c r="B52" s="393">
        <f>Vic!$BK$108</f>
        <v>10380.618310933332</v>
      </c>
      <c r="C52" s="394">
        <f>Vic!$BK$104</f>
        <v>4339.0067038251836</v>
      </c>
      <c r="D52" s="394">
        <f>Vic!$BK$105</f>
        <v>5786.1171333333332</v>
      </c>
      <c r="E52" s="395">
        <f>Vic!$BK$106</f>
        <v>255.49447377481545</v>
      </c>
      <c r="F52" s="396">
        <f>Vic!$BL$108</f>
        <v>1.9369187261151273</v>
      </c>
      <c r="G52" s="397">
        <f>Vic!$BL$104</f>
        <v>0.80979888805866862</v>
      </c>
      <c r="H52" s="397">
        <f>Vic!$BL$105</f>
        <v>1.0794363116434706</v>
      </c>
      <c r="I52" s="398">
        <f>Vic!$BL$106</f>
        <v>4.7683526412988009E-2</v>
      </c>
      <c r="J52" s="399">
        <f>Vic!$BK$107</f>
        <v>0.58200883860115082</v>
      </c>
      <c r="N52" s="364" t="s">
        <v>141</v>
      </c>
    </row>
    <row r="53" spans="1:39" ht="16.5" customHeight="1">
      <c r="A53" s="377" t="s">
        <v>125</v>
      </c>
      <c r="B53" s="393">
        <f>WA!$BK$108</f>
        <v>5596.946672399341</v>
      </c>
      <c r="C53" s="394">
        <f>WA!$BK$104</f>
        <v>3835.1113037524383</v>
      </c>
      <c r="D53" s="394">
        <f>WA!$BK$105</f>
        <v>1554.0229999999999</v>
      </c>
      <c r="E53" s="395">
        <f>WA!$BK$106</f>
        <v>207.81236864690237</v>
      </c>
      <c r="F53" s="400">
        <f>WA!$BL$108</f>
        <v>2.5080301732799777</v>
      </c>
      <c r="G53" s="401">
        <f>WA!$BL$104</f>
        <v>1.7245227111599071</v>
      </c>
      <c r="H53" s="401">
        <f>WA!$BL$105</f>
        <v>0.69006111310775708</v>
      </c>
      <c r="I53" s="402">
        <f>WA!$BL$106</f>
        <v>9.3446349012313273E-2</v>
      </c>
      <c r="J53" s="399">
        <f>WA!$BK$107</f>
        <v>0.31478509118823272</v>
      </c>
      <c r="N53" s="374"/>
      <c r="O53" s="365" t="s">
        <v>134</v>
      </c>
      <c r="AD53" s="364" t="s">
        <v>263</v>
      </c>
    </row>
    <row r="54" spans="1:39" ht="17.25" customHeight="1">
      <c r="A54" s="403" t="s">
        <v>242</v>
      </c>
      <c r="B54" s="404"/>
      <c r="C54" s="405"/>
      <c r="D54" s="405"/>
      <c r="E54" s="406"/>
      <c r="F54" s="407"/>
      <c r="G54" s="408"/>
      <c r="H54" s="408"/>
      <c r="I54" s="409"/>
      <c r="J54" s="410"/>
      <c r="O54" s="370" t="s">
        <v>83</v>
      </c>
      <c r="P54" s="370" t="s">
        <v>133</v>
      </c>
      <c r="Q54" s="370" t="s">
        <v>82</v>
      </c>
      <c r="R54" s="370" t="s">
        <v>81</v>
      </c>
      <c r="S54" s="370" t="s">
        <v>64</v>
      </c>
      <c r="T54" s="370" t="s">
        <v>167</v>
      </c>
      <c r="AD54" s="667"/>
      <c r="AE54" s="667"/>
      <c r="AF54" s="684" t="s">
        <v>118</v>
      </c>
      <c r="AG54" s="669" t="s">
        <v>119</v>
      </c>
      <c r="AH54" s="669" t="s">
        <v>121</v>
      </c>
      <c r="AI54" s="669" t="s">
        <v>122</v>
      </c>
      <c r="AJ54" s="669" t="s">
        <v>123</v>
      </c>
      <c r="AK54" s="669" t="s">
        <v>124</v>
      </c>
      <c r="AL54" s="669" t="s">
        <v>125</v>
      </c>
      <c r="AM54" s="687" t="s">
        <v>242</v>
      </c>
    </row>
    <row r="55" spans="1:39" ht="15.75" customHeight="1">
      <c r="A55" s="377"/>
      <c r="B55" s="377"/>
      <c r="C55" s="377"/>
      <c r="D55" s="377"/>
      <c r="E55" s="377"/>
      <c r="F55" s="377"/>
      <c r="G55" s="377"/>
      <c r="H55" s="377"/>
      <c r="I55" s="377"/>
      <c r="J55" s="377"/>
      <c r="N55" s="366" t="s">
        <v>118</v>
      </c>
      <c r="O55" s="548">
        <f>F59</f>
        <v>2.1723769383923552</v>
      </c>
      <c r="P55" s="549">
        <f>AVERAGE(O55,Q55)</f>
        <v>2.1388360561123889</v>
      </c>
      <c r="Q55" s="548">
        <f>F46</f>
        <v>2.1052951738324222</v>
      </c>
      <c r="R55" s="548">
        <f>F33</f>
        <v>2.0605531468717109</v>
      </c>
      <c r="S55" s="548">
        <f t="shared" ref="S55:S62" si="3">F20</f>
        <v>2.5598267719091323</v>
      </c>
      <c r="T55" s="548"/>
      <c r="AD55" s="667"/>
      <c r="AE55" s="668" t="s">
        <v>72</v>
      </c>
      <c r="AF55" s="670">
        <f>ACT!CA43</f>
        <v>0.15858097573006888</v>
      </c>
      <c r="AG55" s="671">
        <f>NSW!BY43</f>
        <v>-0.18950083052658537</v>
      </c>
      <c r="AH55" s="671">
        <f>Qld!BZ90</f>
        <v>-9.9407658482652983E-2</v>
      </c>
      <c r="AI55" s="671">
        <f>SA!CA43</f>
        <v>-0.15621281120347627</v>
      </c>
      <c r="AJ55" s="671">
        <f>Tas!CA43</f>
        <v>-4.681178951244535E-2</v>
      </c>
      <c r="AK55" s="671">
        <f>Vic!CA43</f>
        <v>-0.12896279230029525</v>
      </c>
      <c r="AL55" s="671">
        <f>WA!CA43</f>
        <v>-0.11516290171356205</v>
      </c>
      <c r="AM55" s="688">
        <f>U44</f>
        <v>-0.14892109403303763</v>
      </c>
    </row>
    <row r="56" spans="1:39" ht="15.75" customHeight="1">
      <c r="A56" s="375" t="s">
        <v>132</v>
      </c>
      <c r="B56" s="376"/>
      <c r="C56" s="376"/>
      <c r="D56" s="376"/>
      <c r="E56" s="376"/>
      <c r="F56" s="376"/>
      <c r="G56" s="377"/>
      <c r="H56" s="377"/>
      <c r="I56" s="377"/>
      <c r="J56" s="377"/>
      <c r="N56" s="365" t="s">
        <v>119</v>
      </c>
      <c r="O56" s="548">
        <f>F60</f>
        <v>2.2355157085962287</v>
      </c>
      <c r="P56" s="549">
        <f t="shared" ref="P56:P62" si="4">AVERAGE(O56,Q56)</f>
        <v>2.2731519452757567</v>
      </c>
      <c r="Q56" s="548">
        <f>F47</f>
        <v>2.3107881819552851</v>
      </c>
      <c r="R56" s="549">
        <f>AVERAGE(Q56,S56)</f>
        <v>2.34714668845199</v>
      </c>
      <c r="S56" s="548">
        <f t="shared" si="3"/>
        <v>2.3835051949486949</v>
      </c>
      <c r="T56" s="371"/>
      <c r="AD56" s="667"/>
      <c r="AE56" s="667" t="s">
        <v>68</v>
      </c>
      <c r="AF56" s="686">
        <f>ACT!CA44</f>
        <v>0.21236176166615064</v>
      </c>
      <c r="AG56" s="685">
        <f>NSW!BY44</f>
        <v>0.27890669354936187</v>
      </c>
      <c r="AH56" s="685">
        <f>Qld!BZ91</f>
        <v>-0.19889964201667173</v>
      </c>
      <c r="AI56" s="685">
        <f>SA!CA44</f>
        <v>0.31223397190002589</v>
      </c>
      <c r="AJ56" s="685">
        <f>Tas!CA44</f>
        <v>0.88678663308924721</v>
      </c>
      <c r="AK56" s="685">
        <f>Vic!CA44</f>
        <v>0.15112808939584396</v>
      </c>
      <c r="AL56" s="685">
        <f>WA!CA44</f>
        <v>0.28615823908089993</v>
      </c>
      <c r="AM56" s="689">
        <f t="shared" ref="AM56:AM59" si="5">U45</f>
        <v>0.19827519875531982</v>
      </c>
    </row>
    <row r="57" spans="1:39" ht="15.75" customHeight="1">
      <c r="A57" s="375"/>
      <c r="B57" s="378" t="s">
        <v>127</v>
      </c>
      <c r="C57" s="379"/>
      <c r="D57" s="379"/>
      <c r="E57" s="380"/>
      <c r="F57" s="378" t="s">
        <v>128</v>
      </c>
      <c r="G57" s="377"/>
      <c r="H57" s="377"/>
      <c r="I57" s="377"/>
      <c r="J57" s="377"/>
      <c r="N57" s="365" t="s">
        <v>120</v>
      </c>
      <c r="O57" s="548"/>
      <c r="P57" s="548"/>
      <c r="Q57" s="548"/>
      <c r="R57" s="548"/>
      <c r="S57" s="548">
        <f t="shared" si="3"/>
        <v>1.3179154852299906</v>
      </c>
      <c r="T57" s="371"/>
      <c r="AD57" s="667"/>
      <c r="AE57" s="667" t="s">
        <v>69</v>
      </c>
      <c r="AF57" s="686">
        <f>ACT!CA45</f>
        <v>-0.22662373105058542</v>
      </c>
      <c r="AG57" s="685">
        <f>NSW!BY45</f>
        <v>0.31404001376289481</v>
      </c>
      <c r="AH57" s="685">
        <f>Qld!BZ92</f>
        <v>2.3507019991517346E-3</v>
      </c>
      <c r="AI57" s="685">
        <f>SA!CA45</f>
        <v>0.25596474752942439</v>
      </c>
      <c r="AJ57" s="685">
        <f>Tas!CA45</f>
        <v>5.458343953024368E-2</v>
      </c>
      <c r="AK57" s="685">
        <f>Vic!CA45</f>
        <v>9.3389233295859075E-2</v>
      </c>
      <c r="AL57" s="685">
        <f>WA!CA45</f>
        <v>-0.28071288060352467</v>
      </c>
      <c r="AM57" s="690">
        <f t="shared" si="5"/>
        <v>8.3206109164344969E-2</v>
      </c>
    </row>
    <row r="58" spans="1:39" ht="15.75" customHeight="1">
      <c r="A58" s="377"/>
      <c r="B58" s="381" t="s">
        <v>78</v>
      </c>
      <c r="C58" s="382" t="s">
        <v>72</v>
      </c>
      <c r="D58" s="382" t="s">
        <v>68</v>
      </c>
      <c r="E58" s="383" t="s">
        <v>69</v>
      </c>
      <c r="F58" s="384" t="s">
        <v>78</v>
      </c>
      <c r="G58" s="382" t="s">
        <v>72</v>
      </c>
      <c r="H58" s="382" t="s">
        <v>68</v>
      </c>
      <c r="I58" s="382" t="s">
        <v>69</v>
      </c>
      <c r="J58" s="381" t="s">
        <v>73</v>
      </c>
      <c r="N58" s="365" t="s">
        <v>121</v>
      </c>
      <c r="O58" s="548"/>
      <c r="P58" s="548"/>
      <c r="Q58" s="548">
        <f>F49</f>
        <v>1.8682056689817499</v>
      </c>
      <c r="R58" s="548">
        <f>F36</f>
        <v>1.7196606845867359</v>
      </c>
      <c r="S58" s="548">
        <f t="shared" si="3"/>
        <v>1.6832232281428705</v>
      </c>
      <c r="T58" s="548">
        <f>Qld!BL14</f>
        <v>1.6098169304013608</v>
      </c>
      <c r="AD58" s="667"/>
      <c r="AE58" s="667" t="s">
        <v>243</v>
      </c>
      <c r="AF58" s="686">
        <f>ACT!CA46</f>
        <v>4.6248728649303994E-3</v>
      </c>
      <c r="AG58" s="685">
        <f>NSW!BY46</f>
        <v>0.20088454480348963</v>
      </c>
      <c r="AH58" s="685">
        <f>Qld!BZ93</f>
        <v>-5.0355891271264705E-2</v>
      </c>
      <c r="AI58" s="685">
        <f>SA!CA46</f>
        <v>0.12604410349265716</v>
      </c>
      <c r="AJ58" s="685">
        <f>Tas!CA46</f>
        <v>0.47591774143673399</v>
      </c>
      <c r="AK58" s="685">
        <f>Vic!CA46</f>
        <v>0.12080020155080158</v>
      </c>
      <c r="AL58" s="685">
        <f>WA!CA46</f>
        <v>0.23261808013510271</v>
      </c>
      <c r="AM58" s="689">
        <f t="shared" si="5"/>
        <v>0.16141997145059142</v>
      </c>
    </row>
    <row r="59" spans="1:39" ht="15.75" customHeight="1">
      <c r="A59" s="385" t="s">
        <v>118</v>
      </c>
      <c r="B59" s="386">
        <f>ACT!$BK$155</f>
        <v>735.31755108597088</v>
      </c>
      <c r="C59" s="387">
        <f>ACT!$BK$151</f>
        <v>158.88235406014516</v>
      </c>
      <c r="D59" s="387">
        <f>ACT!$BK$152</f>
        <v>538.93405137825152</v>
      </c>
      <c r="E59" s="388">
        <f>ACT!$BK$153</f>
        <v>37.501145647574205</v>
      </c>
      <c r="F59" s="389">
        <f>ACT!$BL$155</f>
        <v>2.1723769383923552</v>
      </c>
      <c r="G59" s="390">
        <f>ACT!$BL$151</f>
        <v>0.46939225286816827</v>
      </c>
      <c r="H59" s="390">
        <f>ACT!$BL$152</f>
        <v>1.592193607781289</v>
      </c>
      <c r="I59" s="391">
        <f>ACT!$BL$153</f>
        <v>0.1107910777428978</v>
      </c>
      <c r="J59" s="392">
        <f>ACT!$BK$154</f>
        <v>0.78392688461536641</v>
      </c>
      <c r="N59" s="365" t="s">
        <v>122</v>
      </c>
      <c r="O59" s="548">
        <f>F63</f>
        <v>2.0332316044435861</v>
      </c>
      <c r="P59" s="549">
        <f t="shared" si="4"/>
        <v>2.0688145185327085</v>
      </c>
      <c r="Q59" s="548">
        <f>F50</f>
        <v>2.1043974326218309</v>
      </c>
      <c r="R59" s="548">
        <f>F37</f>
        <v>2.0643843486060374</v>
      </c>
      <c r="S59" s="548">
        <f t="shared" si="3"/>
        <v>2.3645865658959186</v>
      </c>
      <c r="T59" s="371"/>
      <c r="AD59" s="667"/>
      <c r="AE59" s="667" t="s">
        <v>78</v>
      </c>
      <c r="AF59" s="686">
        <f>ACT!CA47</f>
        <v>0.17835294909892815</v>
      </c>
      <c r="AG59" s="685">
        <f>NSW!BY47</f>
        <v>6.6199260324319012E-2</v>
      </c>
      <c r="AH59" s="685">
        <f>Qld!BZ94</f>
        <v>-0.1383085079284776</v>
      </c>
      <c r="AI59" s="685">
        <f>SA!CA47</f>
        <v>0.16296960991957979</v>
      </c>
      <c r="AJ59" s="685">
        <f>Tas!CA47</f>
        <v>0.10221928235855013</v>
      </c>
      <c r="AK59" s="685">
        <f>Vic!CA47</f>
        <v>2.4876301974307402E-2</v>
      </c>
      <c r="AL59" s="685">
        <f>WA!CA47</f>
        <v>-1.0512088536380417E-2</v>
      </c>
      <c r="AM59" s="690">
        <f t="shared" si="5"/>
        <v>2.5989721845203172E-2</v>
      </c>
    </row>
    <row r="60" spans="1:39">
      <c r="A60" s="377" t="s">
        <v>119</v>
      </c>
      <c r="B60" s="393">
        <f>NSW!$BK$155</f>
        <v>15335.954086442896</v>
      </c>
      <c r="C60" s="394">
        <f>NSW!$BK$151</f>
        <v>6990.4627906028682</v>
      </c>
      <c r="D60" s="394">
        <f>NSW!$BK$152</f>
        <v>7994.9995679842305</v>
      </c>
      <c r="E60" s="395">
        <f>NSW!$BK$153</f>
        <v>350.49172785579788</v>
      </c>
      <c r="F60" s="396">
        <f>NSW!$BL$155</f>
        <v>2.2355157085962287</v>
      </c>
      <c r="G60" s="397">
        <f>NSW!$BL$151</f>
        <v>1.0189968808373513</v>
      </c>
      <c r="H60" s="397">
        <f>NSW!$BL$152</f>
        <v>1.1654277929958485</v>
      </c>
      <c r="I60" s="398">
        <f>NSW!$BL$153</f>
        <v>5.1091034763028995E-2</v>
      </c>
      <c r="J60" s="399">
        <f>NSW!$BK$154</f>
        <v>0.54417816125424556</v>
      </c>
      <c r="N60" s="365" t="s">
        <v>123</v>
      </c>
      <c r="O60" s="548">
        <f>F64</f>
        <v>1.0712463086784556</v>
      </c>
      <c r="P60" s="549">
        <f t="shared" si="4"/>
        <v>1.040584761049447</v>
      </c>
      <c r="Q60" s="548">
        <f>F51</f>
        <v>1.0099232134204386</v>
      </c>
      <c r="R60" s="548">
        <f>F38</f>
        <v>1.0360293823882416</v>
      </c>
      <c r="S60" s="548">
        <f t="shared" si="3"/>
        <v>1.1807483375808132</v>
      </c>
      <c r="T60" s="371"/>
    </row>
    <row r="61" spans="1:39">
      <c r="A61" s="377" t="s">
        <v>120</v>
      </c>
      <c r="B61" s="393"/>
      <c r="C61" s="394" t="s">
        <v>129</v>
      </c>
      <c r="D61" s="394"/>
      <c r="E61" s="395"/>
      <c r="F61" s="396"/>
      <c r="G61" s="397"/>
      <c r="H61" s="397"/>
      <c r="I61" s="398"/>
      <c r="J61" s="399"/>
      <c r="N61" s="365" t="s">
        <v>124</v>
      </c>
      <c r="O61" s="548">
        <f>F65</f>
        <v>2.130116868618412</v>
      </c>
      <c r="P61" s="549">
        <f t="shared" si="4"/>
        <v>2.0335177973667697</v>
      </c>
      <c r="Q61" s="548">
        <f>F52</f>
        <v>1.9369187261151273</v>
      </c>
      <c r="R61" s="548">
        <f>F39</f>
        <v>2.1394137756577529</v>
      </c>
      <c r="S61" s="548">
        <f t="shared" si="3"/>
        <v>2.1831062990827297</v>
      </c>
      <c r="T61" s="371"/>
    </row>
    <row r="62" spans="1:39">
      <c r="A62" s="377" t="s">
        <v>121</v>
      </c>
      <c r="B62" s="393"/>
      <c r="C62" s="394" t="s">
        <v>129</v>
      </c>
      <c r="D62" s="394"/>
      <c r="E62" s="395"/>
      <c r="F62" s="396"/>
      <c r="G62" s="397"/>
      <c r="H62" s="397"/>
      <c r="I62" s="398"/>
      <c r="J62" s="399"/>
      <c r="N62" s="365" t="s">
        <v>125</v>
      </c>
      <c r="O62" s="548">
        <f>F66</f>
        <v>2.5842599194585425</v>
      </c>
      <c r="P62" s="549">
        <f t="shared" si="4"/>
        <v>2.5461450463692601</v>
      </c>
      <c r="Q62" s="548">
        <f>F53</f>
        <v>2.5080301732799777</v>
      </c>
      <c r="R62" s="548">
        <f>F40</f>
        <v>3.0654059388028325</v>
      </c>
      <c r="S62" s="548">
        <f t="shared" si="3"/>
        <v>2.557093950384175</v>
      </c>
      <c r="T62" s="371"/>
    </row>
    <row r="63" spans="1:39">
      <c r="A63" s="377" t="s">
        <v>122</v>
      </c>
      <c r="B63" s="393">
        <f>SA!$BK$155</f>
        <v>3223.8992595362752</v>
      </c>
      <c r="C63" s="394">
        <f>SA!$BK$151</f>
        <v>1009.3061727818958</v>
      </c>
      <c r="D63" s="394">
        <f>SA!$BK$152</f>
        <v>2109.9630000000002</v>
      </c>
      <c r="E63" s="395">
        <f>SA!$BK$153</f>
        <v>104.63008675437931</v>
      </c>
      <c r="F63" s="396">
        <f>SA!$BL$155</f>
        <v>2.0332316044435861</v>
      </c>
      <c r="G63" s="397">
        <f>SA!$BL$151</f>
        <v>0.63989425787136811</v>
      </c>
      <c r="H63" s="397">
        <f>SA!$BL$152</f>
        <v>1.3270024786003183</v>
      </c>
      <c r="I63" s="398">
        <f>SA!$BL$153</f>
        <v>6.633486797189965E-2</v>
      </c>
      <c r="J63" s="399">
        <f>SA!$BK$154</f>
        <v>0.68692999019855405</v>
      </c>
      <c r="T63" s="371"/>
    </row>
    <row r="64" spans="1:39">
      <c r="A64" s="377" t="s">
        <v>123</v>
      </c>
      <c r="B64" s="393">
        <f>Tas!$BK$155</f>
        <v>527.44927719243412</v>
      </c>
      <c r="C64" s="394">
        <f>Tas!$BK$151</f>
        <v>410.75286015704131</v>
      </c>
      <c r="D64" s="394">
        <f>Tas!$BK$152</f>
        <v>80.237460899711294</v>
      </c>
      <c r="E64" s="395">
        <f>Tas!$BK$153</f>
        <v>36.458956135681511</v>
      </c>
      <c r="F64" s="396">
        <f>Tas!$BL$155</f>
        <v>1.0712463086784556</v>
      </c>
      <c r="G64" s="397">
        <f>Tas!$BL$151</f>
        <v>0.83423658776161869</v>
      </c>
      <c r="H64" s="487">
        <f>Tas!$BL$152</f>
        <v>0.16296180035372052</v>
      </c>
      <c r="I64" s="398">
        <f>Tas!$BL$153</f>
        <v>7.4047920563116459E-2</v>
      </c>
      <c r="J64" s="399">
        <f>Tas!$BK$154</f>
        <v>0.22124670955386938</v>
      </c>
    </row>
    <row r="65" spans="1:18">
      <c r="A65" s="377" t="s">
        <v>124</v>
      </c>
      <c r="B65" s="393">
        <f>Vic!$BK$155</f>
        <v>11029.537200049999</v>
      </c>
      <c r="C65" s="394">
        <f>Vic!$BK$151</f>
        <v>4915.6694696252325</v>
      </c>
      <c r="D65" s="394">
        <f>Vic!$BK$152</f>
        <v>5855.0514999999996</v>
      </c>
      <c r="E65" s="395">
        <f>Vic!$BK$153</f>
        <v>258.81623042476741</v>
      </c>
      <c r="F65" s="396">
        <f>Vic!$BL$155</f>
        <v>2.130116868618412</v>
      </c>
      <c r="G65" s="397">
        <f>Vic!$BL$151</f>
        <v>0.94984707315458783</v>
      </c>
      <c r="H65" s="397">
        <f>Vic!$BL$152</f>
        <v>1.1302591426986355</v>
      </c>
      <c r="I65" s="398">
        <f>Vic!$BL$153</f>
        <v>5.0010652765189088E-2</v>
      </c>
      <c r="J65" s="399">
        <f>Vic!$BK$154</f>
        <v>0.5543177034116219</v>
      </c>
    </row>
    <row r="66" spans="1:18">
      <c r="A66" s="377" t="s">
        <v>125</v>
      </c>
      <c r="B66" s="393">
        <f>WA!$BK$155</f>
        <v>5409.6590701967007</v>
      </c>
      <c r="C66" s="394">
        <f>WA!$BK$151</f>
        <v>3718.8426667260342</v>
      </c>
      <c r="D66" s="394">
        <f>WA!$BK$152</f>
        <v>1492.473</v>
      </c>
      <c r="E66" s="395">
        <f>WA!$BK$153</f>
        <v>198.34340347066686</v>
      </c>
      <c r="F66" s="400">
        <f>WA!$BL$155</f>
        <v>2.5842599194585425</v>
      </c>
      <c r="G66" s="401">
        <f>WA!$BL$151</f>
        <v>1.7765363631396029</v>
      </c>
      <c r="H66" s="401">
        <f>WA!$BL$152</f>
        <v>0.7129725006189358</v>
      </c>
      <c r="I66" s="402">
        <f>WA!$BL$153</f>
        <v>9.4751055700003847E-2</v>
      </c>
      <c r="J66" s="399">
        <f>WA!$BK$154</f>
        <v>0.3125550763052406</v>
      </c>
    </row>
    <row r="67" spans="1:18">
      <c r="A67" s="403" t="s">
        <v>242</v>
      </c>
      <c r="B67" s="404"/>
      <c r="C67" s="405"/>
      <c r="D67" s="405"/>
      <c r="E67" s="406"/>
      <c r="F67" s="407"/>
      <c r="G67" s="408"/>
      <c r="H67" s="408"/>
      <c r="I67" s="409"/>
      <c r="J67" s="410"/>
    </row>
    <row r="70" spans="1:18">
      <c r="A70" s="365" t="s">
        <v>144</v>
      </c>
    </row>
    <row r="71" spans="1:18">
      <c r="A71" s="436" t="str">
        <f>A17</f>
        <v>2010/11, excluding fly ash</v>
      </c>
      <c r="B71" s="437"/>
      <c r="C71" s="437"/>
      <c r="D71" s="437"/>
      <c r="E71" s="437"/>
      <c r="F71" s="437"/>
      <c r="G71" s="438"/>
      <c r="H71" s="438"/>
      <c r="I71" s="438"/>
      <c r="J71" s="438"/>
      <c r="M71" s="364" t="s">
        <v>136</v>
      </c>
    </row>
    <row r="72" spans="1:18" ht="26.25">
      <c r="A72" s="436"/>
      <c r="B72" s="439" t="str">
        <f t="shared" ref="A72:J82" si="6">B18</f>
        <v>Thousands of tonnes</v>
      </c>
      <c r="C72" s="440"/>
      <c r="D72" s="440"/>
      <c r="E72" s="441"/>
      <c r="F72" s="439" t="str">
        <f t="shared" si="6"/>
        <v>Tonnes per capita</v>
      </c>
      <c r="G72" s="438"/>
      <c r="H72" s="438"/>
      <c r="I72" s="438"/>
      <c r="J72" s="438"/>
      <c r="M72" s="413"/>
      <c r="N72" s="414" t="s">
        <v>72</v>
      </c>
      <c r="O72" s="415" t="s">
        <v>68</v>
      </c>
      <c r="P72" s="415" t="s">
        <v>69</v>
      </c>
      <c r="Q72" s="415" t="s">
        <v>73</v>
      </c>
      <c r="R72" s="415" t="s">
        <v>78</v>
      </c>
    </row>
    <row r="73" spans="1:18" ht="30">
      <c r="A73" s="438"/>
      <c r="B73" s="442" t="str">
        <f t="shared" si="6"/>
        <v>Generation</v>
      </c>
      <c r="C73" s="443" t="str">
        <f t="shared" si="6"/>
        <v>Disposal</v>
      </c>
      <c r="D73" s="443" t="str">
        <f t="shared" si="6"/>
        <v>Recycling</v>
      </c>
      <c r="E73" s="444" t="str">
        <f t="shared" si="6"/>
        <v>Energy recovery</v>
      </c>
      <c r="F73" s="445" t="str">
        <f t="shared" si="6"/>
        <v>Generation</v>
      </c>
      <c r="G73" s="443" t="str">
        <f t="shared" si="6"/>
        <v>Disposal</v>
      </c>
      <c r="H73" s="443" t="str">
        <f t="shared" si="6"/>
        <v>Recycling</v>
      </c>
      <c r="I73" s="443" t="str">
        <f t="shared" si="6"/>
        <v>Energy recovery</v>
      </c>
      <c r="J73" s="442" t="str">
        <f t="shared" si="6"/>
        <v>Recovery rate</v>
      </c>
      <c r="M73" s="412" t="s">
        <v>3</v>
      </c>
      <c r="N73" s="411">
        <f>SUM(WA!BH23,Vic!BH23,Tas!BH23,SA!BH23,Qld!BH70,NT!BH23,NSW!BH23,ACT!BH23)</f>
        <v>4549.4702065590727</v>
      </c>
      <c r="O73" s="372">
        <f>SUM(WA!BI23,Vic!BI23,Tas!BI23,SA!BI23,Qld!BI70,NT!BI23,NSW!BI23,ACT!BI23)</f>
        <v>10632.466764139583</v>
      </c>
      <c r="P73" s="372">
        <f>SUM(WA!BJ23,Vic!BJ23,Tas!BJ23,SA!BJ23,Qld!BJ70,NT!BJ23,NSW!BJ23,ACT!BJ23)</f>
        <v>0</v>
      </c>
      <c r="Q73" s="373">
        <f>SUM(O73:P73)/R73</f>
        <v>0.70033664246270999</v>
      </c>
      <c r="R73" s="372">
        <f>SUM(N73:P73)</f>
        <v>15181.936970698654</v>
      </c>
    </row>
    <row r="74" spans="1:18">
      <c r="A74" s="446" t="str">
        <f t="shared" si="6"/>
        <v>ACT</v>
      </c>
      <c r="B74" s="447">
        <f t="shared" si="6"/>
        <v>934.37196936494695</v>
      </c>
      <c r="C74" s="448">
        <f t="shared" si="6"/>
        <v>198.50503867761728</v>
      </c>
      <c r="D74" s="448">
        <f t="shared" si="6"/>
        <v>704.5913880702069</v>
      </c>
      <c r="E74" s="449">
        <f t="shared" si="6"/>
        <v>31.275542617122831</v>
      </c>
      <c r="F74" s="450"/>
      <c r="G74" s="451"/>
      <c r="H74" s="451"/>
      <c r="I74" s="452"/>
      <c r="J74" s="453"/>
      <c r="M74" s="412" t="s">
        <v>4</v>
      </c>
      <c r="N74" s="411">
        <f>SUM(WA!BH24,Vic!BH24,Tas!BH24,SA!BH24,Qld!BH71,NT!BH24,NSW!BH24,ACT!BH24)</f>
        <v>492.35473770158757</v>
      </c>
      <c r="O74" s="372">
        <f>SUM(WA!BI24,Vic!BI24,Tas!BI24,SA!BI24,Qld!BI71,NT!BI24,NSW!BI24,ACT!BI24)</f>
        <v>5095.5394463749471</v>
      </c>
      <c r="P74" s="372">
        <f>SUM(WA!BJ24,Vic!BJ24,Tas!BJ24,SA!BJ24,Qld!BJ71,NT!BJ24,NSW!BJ24,ACT!BJ24)</f>
        <v>0</v>
      </c>
      <c r="Q74" s="373">
        <f t="shared" ref="Q74:Q81" si="7">SUM(O74:P74)/R74</f>
        <v>0.91188903699990964</v>
      </c>
      <c r="R74" s="372">
        <f t="shared" ref="R74:R81" si="8">SUM(N74:P74)</f>
        <v>5587.8941840765347</v>
      </c>
    </row>
    <row r="75" spans="1:18">
      <c r="A75" s="438" t="str">
        <f t="shared" si="6"/>
        <v>NSW</v>
      </c>
      <c r="B75" s="454">
        <f t="shared" si="6"/>
        <v>17130.999660851186</v>
      </c>
      <c r="C75" s="455">
        <f t="shared" si="6"/>
        <v>5935.9745797020696</v>
      </c>
      <c r="D75" s="455">
        <f t="shared" si="6"/>
        <v>10712.5</v>
      </c>
      <c r="E75" s="456">
        <f t="shared" si="6"/>
        <v>482.52508114911836</v>
      </c>
      <c r="F75" s="457"/>
      <c r="G75" s="458"/>
      <c r="H75" s="458"/>
      <c r="I75" s="459"/>
      <c r="J75" s="460"/>
      <c r="M75" s="412" t="s">
        <v>2</v>
      </c>
      <c r="N75" s="411">
        <f>SUM(WA!BH25,Vic!BH25,Tas!BH25,SA!BH25,Qld!BH72,NT!BH25,NSW!BH25,ACT!BH25)</f>
        <v>6624.8536081148322</v>
      </c>
      <c r="O75" s="372">
        <f>SUM(WA!BI25,Vic!BI25,Tas!BI25,SA!BI25,Qld!BI72,NT!BI25,NSW!BI25,ACT!BI25)</f>
        <v>6141.785617079544</v>
      </c>
      <c r="P75" s="372">
        <f>SUM(WA!BJ25,Vic!BJ25,Tas!BJ25,SA!BJ25,Qld!BJ72,NT!BJ25,NSW!BJ25,ACT!BJ25)</f>
        <v>1243.8707233651476</v>
      </c>
      <c r="Q75" s="373">
        <f t="shared" si="7"/>
        <v>0.52715114350309855</v>
      </c>
      <c r="R75" s="372">
        <f t="shared" si="8"/>
        <v>14010.509948559524</v>
      </c>
    </row>
    <row r="76" spans="1:18">
      <c r="A76" s="438" t="str">
        <f t="shared" si="6"/>
        <v>NT</v>
      </c>
      <c r="B76" s="454">
        <f t="shared" si="6"/>
        <v>304.09977280842378</v>
      </c>
      <c r="C76" s="455">
        <f t="shared" si="6"/>
        <v>276.27568802498115</v>
      </c>
      <c r="D76" s="455">
        <f t="shared" si="6"/>
        <v>13.992091369799335</v>
      </c>
      <c r="E76" s="456">
        <f t="shared" si="6"/>
        <v>13.831993413643296</v>
      </c>
      <c r="F76" s="457"/>
      <c r="G76" s="458"/>
      <c r="H76" s="458"/>
      <c r="I76" s="459"/>
      <c r="J76" s="460"/>
      <c r="M76" s="412" t="s">
        <v>5</v>
      </c>
      <c r="N76" s="411">
        <f>SUM(WA!BH26,Vic!BH26,Tas!BH26,SA!BH26,Qld!BH73,NT!BH26,NSW!BH26,ACT!BH26)</f>
        <v>1719.0333388542394</v>
      </c>
      <c r="O76" s="372">
        <f>SUM(WA!BI26,Vic!BI26,Tas!BI26,SA!BI26,Qld!BI73,NT!BI26,NSW!BI26,ACT!BI26)</f>
        <v>3063.2824418280347</v>
      </c>
      <c r="P76" s="372">
        <f>SUM(WA!BJ26,Vic!BJ26,Tas!BJ26,SA!BJ26,Qld!BJ73,NT!BJ26,NSW!BJ26,ACT!BJ26)</f>
        <v>181.61776202156304</v>
      </c>
      <c r="Q76" s="373">
        <f t="shared" si="7"/>
        <v>0.65369533575224126</v>
      </c>
      <c r="R76" s="372">
        <f t="shared" si="8"/>
        <v>4963.9335427038377</v>
      </c>
    </row>
    <row r="77" spans="1:18">
      <c r="A77" s="438" t="str">
        <f t="shared" si="6"/>
        <v>Qld</v>
      </c>
      <c r="B77" s="454">
        <f t="shared" si="6"/>
        <v>7508.3015370000003</v>
      </c>
      <c r="C77" s="455">
        <f t="shared" si="6"/>
        <v>3579.0600809148996</v>
      </c>
      <c r="D77" s="455">
        <f t="shared" si="6"/>
        <v>3573.6625370000002</v>
      </c>
      <c r="E77" s="456">
        <f t="shared" si="6"/>
        <v>355.57891908509981</v>
      </c>
      <c r="F77" s="457"/>
      <c r="G77" s="458"/>
      <c r="H77" s="458"/>
      <c r="I77" s="459"/>
      <c r="J77" s="460"/>
      <c r="M77" s="412" t="s">
        <v>6</v>
      </c>
      <c r="N77" s="411">
        <f>SUM(WA!BH27,Vic!BH27,Tas!BH27,SA!BH27,Qld!BH74,NT!BH27,NSW!BH27,ACT!BH27)</f>
        <v>1879.2681138240084</v>
      </c>
      <c r="O77" s="372">
        <f>SUM(WA!BI27,Vic!BI27,Tas!BI27,SA!BI27,Qld!BI74,NT!BI27,NSW!BI27,ACT!BI27)</f>
        <v>292.35793700000005</v>
      </c>
      <c r="P77" s="372">
        <f>SUM(WA!BJ27,Vic!BJ27,Tas!BJ27,SA!BJ27,Qld!BJ74,NT!BJ27,NSW!BJ27,ACT!BJ27)</f>
        <v>16.5</v>
      </c>
      <c r="Q77" s="373">
        <f t="shared" si="7"/>
        <v>0.14115180287885598</v>
      </c>
      <c r="R77" s="372">
        <f t="shared" si="8"/>
        <v>2188.1260508240084</v>
      </c>
    </row>
    <row r="78" spans="1:18">
      <c r="A78" s="438" t="str">
        <f t="shared" si="6"/>
        <v>SA</v>
      </c>
      <c r="B78" s="454">
        <f t="shared" si="6"/>
        <v>3865.8448421839944</v>
      </c>
      <c r="C78" s="455">
        <f t="shared" si="6"/>
        <v>882.73499038925763</v>
      </c>
      <c r="D78" s="455">
        <f t="shared" si="6"/>
        <v>2846.9</v>
      </c>
      <c r="E78" s="456">
        <f t="shared" si="6"/>
        <v>136.20985179473655</v>
      </c>
      <c r="F78" s="457"/>
      <c r="G78" s="458"/>
      <c r="H78" s="458"/>
      <c r="I78" s="459"/>
      <c r="J78" s="460"/>
      <c r="M78" s="412" t="s">
        <v>8</v>
      </c>
      <c r="N78" s="411">
        <f>SUM(WA!BH28,Vic!BH28,Tas!BH28,SA!BH28,Qld!BH75,NT!BH28,NSW!BH28,ACT!BH28)</f>
        <v>440.44032578239188</v>
      </c>
      <c r="O78" s="372">
        <f>SUM(WA!BI28,Vic!BI28,Tas!BI28,SA!BI28,Qld!BI75,NT!BI28,NSW!BI28,ACT!BI28)</f>
        <v>623.41882778016316</v>
      </c>
      <c r="P78" s="372">
        <f>SUM(WA!BJ28,Vic!BJ28,Tas!BJ28,SA!BJ28,Qld!BJ75,NT!BJ28,NSW!BJ28,ACT!BJ28)</f>
        <v>0</v>
      </c>
      <c r="Q78" s="373">
        <f t="shared" si="7"/>
        <v>0.5859975220333582</v>
      </c>
      <c r="R78" s="372">
        <f t="shared" si="8"/>
        <v>1063.8591535625551</v>
      </c>
    </row>
    <row r="79" spans="1:18">
      <c r="A79" s="438" t="str">
        <f t="shared" si="6"/>
        <v>Tas</v>
      </c>
      <c r="B79" s="454">
        <f t="shared" si="6"/>
        <v>602.42813338168469</v>
      </c>
      <c r="C79" s="455">
        <f t="shared" si="6"/>
        <v>405.71007966823214</v>
      </c>
      <c r="D79" s="455">
        <f t="shared" si="6"/>
        <v>156.87599999999998</v>
      </c>
      <c r="E79" s="456">
        <f t="shared" si="6"/>
        <v>39.842053713452579</v>
      </c>
      <c r="F79" s="457"/>
      <c r="G79" s="458"/>
      <c r="H79" s="458"/>
      <c r="I79" s="459"/>
      <c r="J79" s="460"/>
      <c r="M79" s="412" t="s">
        <v>7</v>
      </c>
      <c r="N79" s="411">
        <f>SUM(WA!BH29,Vic!BH29,Tas!BH29,SA!BH29,Qld!BH76,NT!BH29,NSW!BH29,ACT!BH29)</f>
        <v>540.88589085661999</v>
      </c>
      <c r="O79" s="372">
        <f>SUM(WA!BI29,Vic!BI29,Tas!BI29,SA!BI29,Qld!BI76,NT!BI29,NSW!BI29,ACT!BI29)</f>
        <v>434.95158583144018</v>
      </c>
      <c r="P79" s="372">
        <f>SUM(WA!BJ29,Vic!BJ29,Tas!BJ29,SA!BJ29,Qld!BJ76,NT!BJ29,NSW!BJ29,ACT!BJ29)</f>
        <v>67.057150839046656</v>
      </c>
      <c r="Q79" s="373">
        <f t="shared" si="7"/>
        <v>0.48136093850712508</v>
      </c>
      <c r="R79" s="372">
        <f t="shared" si="8"/>
        <v>1042.8946275271069</v>
      </c>
    </row>
    <row r="80" spans="1:18">
      <c r="A80" s="438" t="str">
        <f t="shared" si="6"/>
        <v>Vic</v>
      </c>
      <c r="B80" s="454">
        <f t="shared" si="6"/>
        <v>12028.475266250001</v>
      </c>
      <c r="C80" s="455">
        <f t="shared" si="6"/>
        <v>4558.5433860114072</v>
      </c>
      <c r="D80" s="455">
        <f t="shared" si="6"/>
        <v>7168.65</v>
      </c>
      <c r="E80" s="456">
        <f t="shared" si="6"/>
        <v>301.28188023859303</v>
      </c>
      <c r="F80" s="457"/>
      <c r="G80" s="458"/>
      <c r="H80" s="458"/>
      <c r="I80" s="459"/>
      <c r="J80" s="460"/>
      <c r="M80" s="412" t="s">
        <v>11</v>
      </c>
      <c r="N80" s="411">
        <f>SUM(WA!BH30,Vic!BH30,Tas!BH30,SA!BH30,Qld!BH77,NT!BH30,NSW!BH30,ACT!BH30)</f>
        <v>2255.8995638332062</v>
      </c>
      <c r="O80" s="372">
        <f>SUM(WA!BI30,Vic!BI30,Tas!BI30,SA!BI30,Qld!BI77,NT!BI30,NSW!BI30,ACT!BI30)</f>
        <v>79.293000000000006</v>
      </c>
      <c r="P80" s="372">
        <f>SUM(WA!BJ30,Vic!BJ30,Tas!BJ30,SA!BJ30,Qld!BJ77,NT!BJ30,NSW!BJ30,ACT!BJ30)</f>
        <v>10.265000000000001</v>
      </c>
      <c r="Q80" s="373">
        <f t="shared" si="7"/>
        <v>3.8183594272170253E-2</v>
      </c>
      <c r="R80" s="372">
        <f>SUM(N80:P80)</f>
        <v>2345.4575638332062</v>
      </c>
    </row>
    <row r="81" spans="1:19">
      <c r="A81" s="438" t="str">
        <f t="shared" si="6"/>
        <v>WA</v>
      </c>
      <c r="B81" s="454">
        <f t="shared" si="6"/>
        <v>5956.8404949816859</v>
      </c>
      <c r="C81" s="455">
        <f t="shared" si="6"/>
        <v>3661.9019421374942</v>
      </c>
      <c r="D81" s="455">
        <f t="shared" si="6"/>
        <v>2136.1732386302006</v>
      </c>
      <c r="E81" s="456">
        <f t="shared" si="6"/>
        <v>158.76531421399099</v>
      </c>
      <c r="F81" s="461"/>
      <c r="G81" s="462"/>
      <c r="H81" s="462"/>
      <c r="I81" s="463"/>
      <c r="J81" s="460"/>
      <c r="M81" s="412" t="s">
        <v>1</v>
      </c>
      <c r="N81" s="411">
        <f>SUM(WA!BH31,Vic!BH31,Tas!BH31,SA!BH31,Qld!BH78,NT!BH31,NSW!BH31,ACT!BH31)</f>
        <v>7662.8905000000004</v>
      </c>
      <c r="O81" s="372">
        <f>SUM(WA!BI31,Vic!BI31,Tas!BI31,SA!BI31,Qld!BI78,NT!BI31,NSW!BI31,ACT!BI31)</f>
        <v>5938.3060000000005</v>
      </c>
      <c r="P81" s="372">
        <f>SUM(WA!BJ31,Vic!BJ31,Tas!BJ31,SA!BJ31,Qld!BJ78,NT!BJ31,NSW!BJ31,ACT!BJ31)</f>
        <v>0</v>
      </c>
      <c r="Q81" s="373">
        <f t="shared" si="7"/>
        <v>0.43660173573699929</v>
      </c>
      <c r="R81" s="372">
        <f t="shared" si="8"/>
        <v>13601.196500000002</v>
      </c>
    </row>
    <row r="82" spans="1:19">
      <c r="A82" s="464" t="str">
        <f t="shared" si="6"/>
        <v>Australia</v>
      </c>
      <c r="B82" s="465">
        <f>SUM(B74:B81)</f>
        <v>48331.361676821914</v>
      </c>
      <c r="C82" s="466">
        <f>SUM(C74:C81)</f>
        <v>19498.705785525959</v>
      </c>
      <c r="D82" s="466">
        <f>SUM(D74:D81)</f>
        <v>27313.345255070202</v>
      </c>
      <c r="E82" s="467">
        <f>SUM(E74:E81)</f>
        <v>1519.3106362257572</v>
      </c>
      <c r="F82" s="468">
        <f t="shared" si="6"/>
        <v>2.1749256109354191</v>
      </c>
      <c r="G82" s="469">
        <f t="shared" si="6"/>
        <v>0.8774475438247914</v>
      </c>
      <c r="H82" s="469">
        <f t="shared" si="6"/>
        <v>1.2291086378404683</v>
      </c>
      <c r="I82" s="470">
        <f t="shared" si="6"/>
        <v>6.8369429270159751E-2</v>
      </c>
      <c r="J82" s="471">
        <f t="shared" si="6"/>
        <v>0.59656204358759302</v>
      </c>
      <c r="P82" s="514"/>
      <c r="Q82" s="650" t="s">
        <v>244</v>
      </c>
      <c r="R82" s="651">
        <f>SUM(R73:R80)</f>
        <v>46384.612041785425</v>
      </c>
      <c r="S82" s="651">
        <f>R82+(ACT!AJ49+NSW!Q49+NSW!AJ49)/1000</f>
        <v>48331.361676821922</v>
      </c>
    </row>
    <row r="83" spans="1:19">
      <c r="A83" s="438"/>
      <c r="B83" s="438"/>
      <c r="C83" s="438"/>
      <c r="D83" s="438"/>
      <c r="E83" s="438"/>
      <c r="F83" s="438"/>
      <c r="G83" s="438"/>
      <c r="H83" s="438"/>
      <c r="I83" s="438"/>
      <c r="J83" s="438"/>
    </row>
    <row r="84" spans="1:19">
      <c r="A84" s="436" t="s">
        <v>147</v>
      </c>
      <c r="B84" s="437"/>
      <c r="C84" s="437"/>
      <c r="D84" s="437"/>
      <c r="E84" s="437"/>
      <c r="F84" s="437"/>
      <c r="G84" s="438"/>
      <c r="H84" s="438"/>
      <c r="I84" s="438"/>
      <c r="J84" s="438"/>
      <c r="M84" s="364" t="s">
        <v>140</v>
      </c>
    </row>
    <row r="85" spans="1:19">
      <c r="A85" s="436"/>
      <c r="B85" s="439" t="str">
        <f>B31</f>
        <v>Thousands of tonnes</v>
      </c>
      <c r="C85" s="440"/>
      <c r="D85" s="440"/>
      <c r="E85" s="441"/>
      <c r="F85" s="439" t="str">
        <f>F31</f>
        <v>Tonnes per capita</v>
      </c>
      <c r="G85" s="438"/>
      <c r="H85" s="438"/>
      <c r="I85" s="438"/>
      <c r="J85" s="438"/>
      <c r="M85" s="413"/>
      <c r="N85" s="420" t="s">
        <v>44</v>
      </c>
      <c r="O85" s="416" t="s">
        <v>45</v>
      </c>
      <c r="P85" s="421" t="s">
        <v>46</v>
      </c>
      <c r="Q85" s="416" t="s">
        <v>40</v>
      </c>
    </row>
    <row r="86" spans="1:19" ht="30">
      <c r="A86" s="438"/>
      <c r="B86" s="442" t="str">
        <f t="shared" ref="B86:J86" si="9">B32</f>
        <v>Generation</v>
      </c>
      <c r="C86" s="443" t="str">
        <f t="shared" si="9"/>
        <v>Disposal</v>
      </c>
      <c r="D86" s="443" t="str">
        <f t="shared" si="9"/>
        <v>Recycling</v>
      </c>
      <c r="E86" s="444" t="str">
        <f t="shared" si="9"/>
        <v>Energy recovery</v>
      </c>
      <c r="F86" s="445" t="str">
        <f t="shared" si="9"/>
        <v>Generation</v>
      </c>
      <c r="G86" s="443" t="str">
        <f t="shared" si="9"/>
        <v>Disposal</v>
      </c>
      <c r="H86" s="443" t="str">
        <f t="shared" si="9"/>
        <v>Recycling</v>
      </c>
      <c r="I86" s="443" t="str">
        <f t="shared" si="9"/>
        <v>Energy recovery</v>
      </c>
      <c r="J86" s="442" t="str">
        <f t="shared" si="9"/>
        <v>Recovery rate</v>
      </c>
      <c r="M86" s="419" t="s">
        <v>72</v>
      </c>
      <c r="N86" s="411">
        <f>SUM(WA!BH10,Vic!BH10,Tas!BH10,SA!BH10,Qld!BH57,NT!BH10,NSW!BH10)</f>
        <v>6812.8686903756698</v>
      </c>
      <c r="O86" s="372">
        <f>SUM(WA!BI10,Vic!BI10,Tas!BI10,SA!BI10,Qld!BI57,NT!BI10,NSW!BI10)</f>
        <v>6232.4537233598512</v>
      </c>
      <c r="P86" s="422">
        <f>SUM(WA!BJ10,Vic!BJ10,Tas!BJ10,SA!BJ10,Qld!BJ57,NT!BJ10,NSW!BJ10)</f>
        <v>6254.8783331128197</v>
      </c>
      <c r="Q86" s="372">
        <f>SUM(N86:P86)</f>
        <v>19300.200746848343</v>
      </c>
    </row>
    <row r="87" spans="1:19">
      <c r="A87" s="446" t="str">
        <f t="shared" ref="A87:A95" si="10">A33</f>
        <v>ACT</v>
      </c>
      <c r="B87" s="447">
        <f>ACT!BM14</f>
        <v>934.37196936494695</v>
      </c>
      <c r="C87" s="448">
        <f>ACT!$BM$10</f>
        <v>198.50503867761728</v>
      </c>
      <c r="D87" s="448">
        <f>ACT!$BM$11</f>
        <v>704.5913880702069</v>
      </c>
      <c r="E87" s="449">
        <f>ACT!$BM$12</f>
        <v>31.275542617122831</v>
      </c>
      <c r="F87" s="450">
        <f>ACT!$BN$14</f>
        <v>2.5598267719091323</v>
      </c>
      <c r="G87" s="451">
        <f>ACT!$BN$10</f>
        <v>0.54382893432813761</v>
      </c>
      <c r="H87" s="451">
        <f>ACT!$BN$11</f>
        <v>1.9303146472433077</v>
      </c>
      <c r="I87" s="452">
        <f>ACT!$BN$12</f>
        <v>8.5683190337686829E-2</v>
      </c>
      <c r="J87" s="453">
        <f>ACT!$BM$13</f>
        <v>0.78755244679211356</v>
      </c>
      <c r="M87" s="419" t="s">
        <v>68</v>
      </c>
      <c r="N87" s="411">
        <f>SUM(WA!BH11,Vic!BH11,Tas!BH11,SA!BH11,Qld!BH58,NT!BH11,NSW!BH11,ACT!BH11)</f>
        <v>6340.7578179191005</v>
      </c>
      <c r="O87" s="372">
        <f>SUM(WA!BI11,Vic!BI11,Tas!BI11,SA!BI11,Qld!BI58,NT!BI11,NSW!BI11)</f>
        <v>8377.3744962778837</v>
      </c>
      <c r="P87" s="422">
        <f>SUM(WA!BJ11,Vic!BJ11,Tas!BJ11,SA!BJ11,Qld!BJ58,NT!BJ11,NSW!BJ11)</f>
        <v>11890.621552803015</v>
      </c>
      <c r="Q87" s="372">
        <f>SUM(N87:P87)</f>
        <v>26608.753866999999</v>
      </c>
    </row>
    <row r="88" spans="1:19">
      <c r="A88" s="438" t="str">
        <f t="shared" si="10"/>
        <v>NSW</v>
      </c>
      <c r="B88" s="454">
        <f>NSW!BM14</f>
        <v>21636.241206081817</v>
      </c>
      <c r="C88" s="455">
        <f>NSW!$BM$10</f>
        <v>7564.6171425970288</v>
      </c>
      <c r="D88" s="455">
        <f>NSW!$BM$11</f>
        <v>13589.098982335672</v>
      </c>
      <c r="E88" s="456">
        <f>NSW!$BM$12</f>
        <v>482.52508114911836</v>
      </c>
      <c r="F88" s="457">
        <f>NSW!BN14</f>
        <v>3.0103376530740458</v>
      </c>
      <c r="G88" s="458">
        <f>NSW!$BN$10</f>
        <v>1.0524957453815103</v>
      </c>
      <c r="H88" s="458">
        <f>NSW!$BN$11</f>
        <v>1.8907062436693645</v>
      </c>
      <c r="I88" s="459">
        <f>NSW!$BN$12</f>
        <v>6.7135664023171157E-2</v>
      </c>
      <c r="J88" s="460">
        <f>NSW!$BM$13</f>
        <v>0.65037285956718505</v>
      </c>
      <c r="M88" s="416" t="s">
        <v>69</v>
      </c>
      <c r="N88" s="423">
        <f>SUM(WA!BH12,Vic!BH12,Tas!BH12,SA!BH12,Qld!BH59,NT!BH12,NSW!BH12,ACT!BH12)</f>
        <v>883.85771492235267</v>
      </c>
      <c r="O88" s="418">
        <f>SUM(WA!BI12,Vic!BI12,Tas!BI12,SA!BI12,Qld!BI59,NT!BI12,NSW!BI12)</f>
        <v>556.14395281699569</v>
      </c>
      <c r="P88" s="424">
        <f>SUM(WA!BJ12,Vic!BJ12,Tas!BJ12,SA!BJ12,Qld!BJ59,NT!BJ12,NSW!BJ12)</f>
        <v>59.944330242729158</v>
      </c>
      <c r="Q88" s="418">
        <f>SUM(N88:P88)</f>
        <v>1499.9459979820774</v>
      </c>
    </row>
    <row r="89" spans="1:19">
      <c r="A89" s="438" t="str">
        <f t="shared" si="10"/>
        <v>NT</v>
      </c>
      <c r="B89" s="454">
        <f>NT!BM14</f>
        <v>304.09977280842378</v>
      </c>
      <c r="C89" s="455">
        <f>NT!$BM$10</f>
        <v>276.27568802498115</v>
      </c>
      <c r="D89" s="455">
        <f>NT!$BM$11</f>
        <v>13.992091369799335</v>
      </c>
      <c r="E89" s="456">
        <f>NT!$BM$12</f>
        <v>13.831993413643296</v>
      </c>
      <c r="F89" s="457">
        <f>NT!BN14</f>
        <v>1.3179154852299906</v>
      </c>
      <c r="G89" s="458">
        <f>NT!$BN$10</f>
        <v>1.1973307447028994</v>
      </c>
      <c r="H89" s="458">
        <f>NT!$BN$11</f>
        <v>6.0639288601601483E-2</v>
      </c>
      <c r="I89" s="459">
        <f>NT!$BN$12</f>
        <v>5.9945451925489814E-2</v>
      </c>
      <c r="J89" s="460">
        <f>NT!$BM$13</f>
        <v>9.1496565507042313E-2</v>
      </c>
      <c r="M89" s="419" t="s">
        <v>73</v>
      </c>
      <c r="N89" s="425">
        <f>SUM(N87:N88)/N90</f>
        <v>0.51466597703400374</v>
      </c>
      <c r="O89" s="417">
        <f>SUM(O87:O88)/O90</f>
        <v>0.58905016754022699</v>
      </c>
      <c r="P89" s="426">
        <f>SUM(P87:P88)/P90</f>
        <v>0.65642813990986326</v>
      </c>
      <c r="Q89" s="417">
        <f>SUM(Q87:Q88)/Q90</f>
        <v>0.59289921306396698</v>
      </c>
    </row>
    <row r="90" spans="1:19">
      <c r="A90" s="438" t="str">
        <f t="shared" si="10"/>
        <v>Qld</v>
      </c>
      <c r="B90" s="454">
        <f>Qld!BM61</f>
        <v>13234.509537</v>
      </c>
      <c r="C90" s="455">
        <f>Qld!$BM$57</f>
        <v>8467.4460809149004</v>
      </c>
      <c r="D90" s="455">
        <f>Qld!$BM$58</f>
        <v>4411.4845370000003</v>
      </c>
      <c r="E90" s="456">
        <f>Qld!$BM$59</f>
        <v>355.57891908509981</v>
      </c>
      <c r="F90" s="457">
        <f>Qld!BN61</f>
        <v>2.9686912659705351</v>
      </c>
      <c r="G90" s="458">
        <f>Qld!$BN$57</f>
        <v>1.900844555252835</v>
      </c>
      <c r="H90" s="458">
        <f>Qld!$BN$58</f>
        <v>0.99032769534122322</v>
      </c>
      <c r="I90" s="459">
        <f>Qld!$BN$59</f>
        <v>7.7519015376476777E-2</v>
      </c>
      <c r="J90" s="460">
        <f>Qld!$BM$60</f>
        <v>0.36019948021176906</v>
      </c>
      <c r="M90" s="419" t="s">
        <v>78</v>
      </c>
      <c r="N90" s="411">
        <f>SUM(N86:N88)</f>
        <v>14037.484223217123</v>
      </c>
      <c r="O90" s="372">
        <f>SUM(O86:O88)</f>
        <v>15165.972172454731</v>
      </c>
      <c r="P90" s="422">
        <f>SUM(P86:P88)</f>
        <v>18205.444216158565</v>
      </c>
      <c r="Q90" s="372">
        <f>SUM(Q86:Q88)</f>
        <v>47408.900611830417</v>
      </c>
    </row>
    <row r="91" spans="1:19">
      <c r="A91" s="438" t="str">
        <f t="shared" si="10"/>
        <v>SA</v>
      </c>
      <c r="B91" s="454">
        <f>SA!BM14</f>
        <v>4065.8448421839944</v>
      </c>
      <c r="C91" s="455">
        <f>SA!$BM$10</f>
        <v>882.73499038925763</v>
      </c>
      <c r="D91" s="455">
        <f>SA!$BM$11</f>
        <v>3046.9</v>
      </c>
      <c r="E91" s="456">
        <f>SA!$BM$12</f>
        <v>136.20985179473655</v>
      </c>
      <c r="F91" s="457">
        <f>SA!BN14</f>
        <v>2.4869187681660989</v>
      </c>
      <c r="G91" s="458">
        <f>SA!$BN$10</f>
        <v>0.53993457697631952</v>
      </c>
      <c r="H91" s="458">
        <f>SA!$BN$11</f>
        <v>1.8636699354850546</v>
      </c>
      <c r="I91" s="459">
        <f>SA!$BN$12</f>
        <v>8.3314255704724643E-2</v>
      </c>
      <c r="J91" s="460">
        <f>SA!$BM$13</f>
        <v>0.78289014346275665</v>
      </c>
      <c r="M91" s="364" t="s">
        <v>241</v>
      </c>
    </row>
    <row r="92" spans="1:19">
      <c r="A92" s="438" t="str">
        <f t="shared" si="10"/>
        <v>Tas</v>
      </c>
      <c r="B92" s="454">
        <f>Tas!BM14</f>
        <v>602.42813338168469</v>
      </c>
      <c r="C92" s="455">
        <f>Tas!$BM$10</f>
        <v>405.71007966823214</v>
      </c>
      <c r="D92" s="455">
        <f>Tas!$BM$11</f>
        <v>156.87599999999998</v>
      </c>
      <c r="E92" s="456">
        <f>Tas!$BM$12</f>
        <v>39.842053713452579</v>
      </c>
      <c r="F92" s="457">
        <f>Tas!BN14</f>
        <v>1.1807483375808132</v>
      </c>
      <c r="G92" s="458">
        <f>Tas!$BN$10</f>
        <v>0.79518448021174115</v>
      </c>
      <c r="H92" s="458">
        <f>Tas!$BN$11</f>
        <v>0.30747414661155842</v>
      </c>
      <c r="I92" s="459">
        <f>Tas!$BN$12</f>
        <v>7.8089710757513614E-2</v>
      </c>
      <c r="J92" s="460">
        <f>Tas!$BM$13</f>
        <v>0.32654194386505597</v>
      </c>
      <c r="M92" s="430"/>
      <c r="N92" s="420" t="str">
        <f t="shared" ref="N92:Q92" si="11">N85</f>
        <v>MSW</v>
      </c>
      <c r="O92" s="420" t="str">
        <f t="shared" si="11"/>
        <v>C&amp;I</v>
      </c>
      <c r="P92" s="420" t="str">
        <f t="shared" si="11"/>
        <v>C&amp;D</v>
      </c>
      <c r="Q92" s="420" t="str">
        <f t="shared" si="11"/>
        <v>Total</v>
      </c>
    </row>
    <row r="93" spans="1:19">
      <c r="A93" s="438" t="str">
        <f t="shared" si="10"/>
        <v>Vic</v>
      </c>
      <c r="B93" s="454">
        <f>Vic!BM14</f>
        <v>14531.81156607087</v>
      </c>
      <c r="C93" s="455">
        <f>Vic!$BM$10</f>
        <v>5463.4982050142426</v>
      </c>
      <c r="D93" s="455">
        <f>Vic!$BM$11</f>
        <v>8767.0314808180337</v>
      </c>
      <c r="E93" s="456">
        <f>Vic!$BM$12</f>
        <v>301.28188023859303</v>
      </c>
      <c r="F93" s="457">
        <f>Vic!BN14</f>
        <v>2.6374489421769427</v>
      </c>
      <c r="G93" s="458">
        <f>Vic!$BN$10</f>
        <v>0.99159678033841681</v>
      </c>
      <c r="H93" s="458">
        <f>Vic!$BN$11</f>
        <v>1.5911710525549703</v>
      </c>
      <c r="I93" s="459">
        <f>Vic!$BN$12</f>
        <v>5.4681109283555532E-2</v>
      </c>
      <c r="J93" s="460">
        <f>Vic!$BM$13</f>
        <v>0.62403185726888211</v>
      </c>
      <c r="M93" s="419" t="str">
        <f t="shared" ref="M93" si="12">M86</f>
        <v>Disposal</v>
      </c>
      <c r="N93" s="638">
        <f>N86/1000</f>
        <v>6.8128686903756694</v>
      </c>
      <c r="O93" s="638">
        <f t="shared" ref="O93:Q93" si="13">O86/1000</f>
        <v>6.2324537233598516</v>
      </c>
      <c r="P93" s="638">
        <f t="shared" si="13"/>
        <v>6.2548783331128197</v>
      </c>
      <c r="Q93" s="638">
        <f t="shared" si="13"/>
        <v>19.300200746848343</v>
      </c>
    </row>
    <row r="94" spans="1:19">
      <c r="A94" s="438" t="str">
        <f t="shared" si="10"/>
        <v>WA</v>
      </c>
      <c r="B94" s="483">
        <f>WA!BM14</f>
        <v>6623.2511499301854</v>
      </c>
      <c r="C94" s="484">
        <f>WA!$BM$10</f>
        <v>3902.8090602396987</v>
      </c>
      <c r="D94" s="484">
        <f>WA!$BM$11</f>
        <v>2561.676775476496</v>
      </c>
      <c r="E94" s="485">
        <f>WA!$BM$12</f>
        <v>158.76531421399099</v>
      </c>
      <c r="F94" s="461">
        <f>WA!BN14</f>
        <v>2.8431641675867265</v>
      </c>
      <c r="G94" s="462">
        <f>WA!$BN$10</f>
        <v>1.6753595208485037</v>
      </c>
      <c r="H94" s="462">
        <f>WA!$BN$11</f>
        <v>1.0996514328239919</v>
      </c>
      <c r="I94" s="463">
        <f>WA!$BN$12</f>
        <v>6.8153213914230751E-2</v>
      </c>
      <c r="J94" s="486">
        <f>WA!$BM$13</f>
        <v>0.4107411946350793</v>
      </c>
      <c r="M94" s="419" t="str">
        <f t="shared" ref="M94" si="14">M87</f>
        <v>Recycling</v>
      </c>
      <c r="N94" s="638">
        <f t="shared" ref="N94:Q94" si="15">N87/1000</f>
        <v>6.3407578179191004</v>
      </c>
      <c r="O94" s="638">
        <f t="shared" si="15"/>
        <v>8.3773744962778842</v>
      </c>
      <c r="P94" s="638">
        <f t="shared" si="15"/>
        <v>11.890621552803015</v>
      </c>
      <c r="Q94" s="638">
        <f t="shared" si="15"/>
        <v>26.608753867000001</v>
      </c>
    </row>
    <row r="95" spans="1:19">
      <c r="A95" s="464" t="str">
        <f t="shared" si="10"/>
        <v>Australia</v>
      </c>
      <c r="B95" s="465">
        <f>SUM(B87:B94)</f>
        <v>61932.55817682192</v>
      </c>
      <c r="C95" s="466">
        <f>SUM(C87:C94)</f>
        <v>27161.596285525957</v>
      </c>
      <c r="D95" s="466">
        <f>SUM(D87:D94)</f>
        <v>33251.65125507021</v>
      </c>
      <c r="E95" s="467">
        <f>SUM(E87:E94)</f>
        <v>1519.3106362257572</v>
      </c>
      <c r="F95" s="469">
        <f>B95*1000/[2]Popn!$J$43</f>
        <v>2.7869834876618995</v>
      </c>
      <c r="G95" s="469">
        <f>C95*1000/[2]Popn!$J$43</f>
        <v>1.2222798892009876</v>
      </c>
      <c r="H95" s="469">
        <f>D95*1000/[2]Popn!$J$43</f>
        <v>1.4963341691907521</v>
      </c>
      <c r="I95" s="470">
        <f>E95*1000/[2]Popn!$J$43</f>
        <v>6.8369429270159751E-2</v>
      </c>
      <c r="J95" s="471">
        <f>SUM(D95:E95)/B95</f>
        <v>0.56143267636422134</v>
      </c>
      <c r="M95" s="419" t="str">
        <f t="shared" ref="M95" si="16">M88</f>
        <v>Energy recovery</v>
      </c>
      <c r="N95" s="638">
        <f t="shared" ref="N95:Q95" si="17">N88/1000</f>
        <v>0.88385771492235266</v>
      </c>
      <c r="O95" s="638">
        <f t="shared" si="17"/>
        <v>0.55614395281699569</v>
      </c>
      <c r="P95" s="638">
        <f t="shared" si="17"/>
        <v>5.994433024272916E-2</v>
      </c>
      <c r="Q95" s="638">
        <f t="shared" si="17"/>
        <v>1.4999459979820775</v>
      </c>
    </row>
    <row r="96" spans="1:19">
      <c r="A96" s="438"/>
      <c r="B96" s="438"/>
      <c r="C96" s="438"/>
      <c r="D96" s="438"/>
      <c r="E96" s="438"/>
      <c r="F96" s="438"/>
      <c r="G96" s="438"/>
      <c r="H96" s="438"/>
      <c r="I96" s="438"/>
      <c r="J96" s="438"/>
      <c r="M96" s="419" t="str">
        <f t="shared" ref="M96" si="18">M89</f>
        <v>Recovery rate</v>
      </c>
      <c r="N96" s="425">
        <f>SUM(N94:N95)/N97</f>
        <v>0.51466597703400363</v>
      </c>
      <c r="O96" s="425">
        <f t="shared" ref="O96:Q96" si="19">SUM(O94:O95)/O97</f>
        <v>0.58905016754022699</v>
      </c>
      <c r="P96" s="425">
        <f t="shared" si="19"/>
        <v>0.65642813990986315</v>
      </c>
      <c r="Q96" s="425">
        <f t="shared" si="19"/>
        <v>0.59289921306396698</v>
      </c>
    </row>
    <row r="97" spans="1:17">
      <c r="A97" s="436" t="str">
        <f>A30</f>
        <v>2009/10, excluding fly ash</v>
      </c>
      <c r="B97" s="437"/>
      <c r="C97" s="437"/>
      <c r="D97" s="437"/>
      <c r="E97" s="437"/>
      <c r="F97" s="437"/>
      <c r="G97" s="438"/>
      <c r="H97" s="438"/>
      <c r="I97" s="438"/>
      <c r="J97" s="438"/>
      <c r="M97" s="419" t="str">
        <f t="shared" ref="M97" si="20">M90</f>
        <v>Generation</v>
      </c>
      <c r="N97" s="638">
        <f t="shared" ref="N97:Q97" si="21">N90/1000</f>
        <v>14.037484223217124</v>
      </c>
      <c r="O97" s="638">
        <f t="shared" si="21"/>
        <v>15.165972172454731</v>
      </c>
      <c r="P97" s="638">
        <f t="shared" si="21"/>
        <v>18.205444216158565</v>
      </c>
      <c r="Q97" s="638">
        <f t="shared" si="21"/>
        <v>47.408900611830418</v>
      </c>
    </row>
    <row r="98" spans="1:17">
      <c r="A98" s="436"/>
      <c r="B98" s="439" t="str">
        <f>B31</f>
        <v>Thousands of tonnes</v>
      </c>
      <c r="C98" s="440"/>
      <c r="D98" s="440"/>
      <c r="E98" s="441"/>
      <c r="F98" s="439" t="str">
        <f>F31</f>
        <v>Tonnes per capita</v>
      </c>
      <c r="G98" s="438"/>
      <c r="H98" s="438"/>
      <c r="I98" s="438"/>
      <c r="J98" s="438"/>
      <c r="M98" s="430"/>
      <c r="N98" s="430"/>
      <c r="O98" s="430"/>
      <c r="P98" s="430"/>
      <c r="Q98" s="430"/>
    </row>
    <row r="99" spans="1:17" ht="30">
      <c r="A99" s="438"/>
      <c r="B99" s="442" t="str">
        <f>B32</f>
        <v>Generation</v>
      </c>
      <c r="C99" s="443" t="str">
        <f t="shared" ref="C99:E100" si="22">C32</f>
        <v>Disposal</v>
      </c>
      <c r="D99" s="443" t="str">
        <f t="shared" si="22"/>
        <v>Recycling</v>
      </c>
      <c r="E99" s="444" t="str">
        <f t="shared" si="22"/>
        <v>Energy recovery</v>
      </c>
      <c r="F99" s="445" t="str">
        <f>F32</f>
        <v>Generation</v>
      </c>
      <c r="G99" s="443" t="str">
        <f>G32</f>
        <v>Disposal</v>
      </c>
      <c r="H99" s="443" t="str">
        <f>H32</f>
        <v>Recycling</v>
      </c>
      <c r="I99" s="443" t="str">
        <f>I32</f>
        <v>Energy recovery</v>
      </c>
      <c r="J99" s="442" t="str">
        <f>J32</f>
        <v>Recovery rate</v>
      </c>
      <c r="M99" s="430"/>
      <c r="N99" s="430"/>
      <c r="O99" s="430"/>
      <c r="P99" s="430"/>
      <c r="Q99" s="430"/>
    </row>
    <row r="100" spans="1:17">
      <c r="A100" s="446" t="str">
        <f t="shared" ref="A100:A108" si="23">A33</f>
        <v>ACT</v>
      </c>
      <c r="B100" s="447">
        <f>B33</f>
        <v>737.8645066398642</v>
      </c>
      <c r="C100" s="448">
        <f t="shared" si="22"/>
        <v>148.33528008545989</v>
      </c>
      <c r="D100" s="448">
        <f t="shared" si="22"/>
        <v>559.85603770318812</v>
      </c>
      <c r="E100" s="449">
        <f t="shared" si="22"/>
        <v>29.673188851216231</v>
      </c>
      <c r="F100" s="450"/>
      <c r="G100" s="451"/>
      <c r="H100" s="451"/>
      <c r="I100" s="452"/>
      <c r="J100" s="453"/>
    </row>
    <row r="101" spans="1:17">
      <c r="A101" s="438" t="str">
        <f t="shared" si="23"/>
        <v>NSW</v>
      </c>
      <c r="B101" s="454">
        <f>AVERAGE(B75,B114)</f>
        <v>16696.230173149255</v>
      </c>
      <c r="C101" s="455">
        <f>AVERAGE(C75,C114)</f>
        <v>6122.7061786719778</v>
      </c>
      <c r="D101" s="455">
        <f>AVERAGE(D75,D114)</f>
        <v>10120.75</v>
      </c>
      <c r="E101" s="456">
        <f>AVERAGE(E75,E114)</f>
        <v>452.77399447727726</v>
      </c>
      <c r="F101" s="457"/>
      <c r="G101" s="458"/>
      <c r="H101" s="458"/>
      <c r="I101" s="459"/>
      <c r="J101" s="460"/>
    </row>
    <row r="102" spans="1:17">
      <c r="A102" s="438" t="str">
        <f t="shared" si="23"/>
        <v>NT</v>
      </c>
      <c r="B102" s="454">
        <f>B$76*[2]Popn!$D$42/[2]Popn!$D$43</f>
        <v>301.80231663879658</v>
      </c>
      <c r="C102" s="455">
        <f>C$76*[2]Popn!$D$42/[2]Popn!$D$43</f>
        <v>274.18844120427781</v>
      </c>
      <c r="D102" s="455">
        <f>D$76*[2]Popn!$D$42/[2]Popn!$D$43</f>
        <v>13.886381929944593</v>
      </c>
      <c r="E102" s="456">
        <f>E$76*[2]Popn!$D$42/[2]Popn!$D$43</f>
        <v>13.727493504574186</v>
      </c>
      <c r="F102" s="457"/>
      <c r="G102" s="458"/>
      <c r="H102" s="458"/>
      <c r="I102" s="459"/>
      <c r="J102" s="460"/>
    </row>
    <row r="103" spans="1:17">
      <c r="A103" s="438" t="str">
        <f t="shared" si="23"/>
        <v>Qld</v>
      </c>
      <c r="B103" s="454">
        <f t="shared" ref="B103:E107" si="24">B36</f>
        <v>7583.7770519999995</v>
      </c>
      <c r="C103" s="455">
        <f t="shared" si="24"/>
        <v>4158.7888643757833</v>
      </c>
      <c r="D103" s="455">
        <f t="shared" si="24"/>
        <v>3070.2640519999995</v>
      </c>
      <c r="E103" s="456">
        <f t="shared" si="24"/>
        <v>354.72413562421684</v>
      </c>
      <c r="F103" s="457"/>
      <c r="G103" s="458"/>
      <c r="H103" s="458"/>
      <c r="I103" s="459"/>
      <c r="J103" s="460"/>
    </row>
    <row r="104" spans="1:17">
      <c r="A104" s="438" t="str">
        <f t="shared" si="23"/>
        <v>SA</v>
      </c>
      <c r="B104" s="454">
        <f t="shared" si="24"/>
        <v>3374.1239839192222</v>
      </c>
      <c r="C104" s="455">
        <f t="shared" si="24"/>
        <v>897.54962834534399</v>
      </c>
      <c r="D104" s="455">
        <f t="shared" si="24"/>
        <v>2340.1799999999998</v>
      </c>
      <c r="E104" s="456">
        <f t="shared" si="24"/>
        <v>136.39435557387827</v>
      </c>
      <c r="F104" s="457"/>
      <c r="G104" s="458"/>
      <c r="H104" s="458"/>
      <c r="I104" s="459"/>
      <c r="J104" s="460"/>
    </row>
    <row r="105" spans="1:17">
      <c r="A105" s="438" t="str">
        <f t="shared" si="23"/>
        <v>Tas</v>
      </c>
      <c r="B105" s="454">
        <f t="shared" si="24"/>
        <v>525.09750606681803</v>
      </c>
      <c r="C105" s="455">
        <f t="shared" si="24"/>
        <v>347.97783455364555</v>
      </c>
      <c r="D105" s="455">
        <f t="shared" si="24"/>
        <v>137.15100000000001</v>
      </c>
      <c r="E105" s="456">
        <f t="shared" si="24"/>
        <v>39.968671513172453</v>
      </c>
      <c r="F105" s="457"/>
      <c r="G105" s="458"/>
      <c r="H105" s="458"/>
      <c r="I105" s="459"/>
      <c r="J105" s="460"/>
    </row>
    <row r="106" spans="1:17">
      <c r="A106" s="438" t="str">
        <f t="shared" si="23"/>
        <v>Vic</v>
      </c>
      <c r="B106" s="454">
        <f t="shared" si="24"/>
        <v>11649.68939415</v>
      </c>
      <c r="C106" s="455">
        <f t="shared" si="24"/>
        <v>4383.1232070778296</v>
      </c>
      <c r="D106" s="455">
        <f t="shared" si="24"/>
        <v>6979.8838000000005</v>
      </c>
      <c r="E106" s="456">
        <f t="shared" si="24"/>
        <v>286.68238707216881</v>
      </c>
      <c r="F106" s="457"/>
      <c r="G106" s="458"/>
      <c r="H106" s="458"/>
      <c r="I106" s="459"/>
      <c r="J106" s="460"/>
    </row>
    <row r="107" spans="1:17">
      <c r="A107" s="438" t="str">
        <f t="shared" si="23"/>
        <v>WA</v>
      </c>
      <c r="B107" s="454">
        <f t="shared" si="24"/>
        <v>6995.0812234058149</v>
      </c>
      <c r="C107" s="455">
        <f t="shared" si="24"/>
        <v>4931.8229091918247</v>
      </c>
      <c r="D107" s="455">
        <f t="shared" si="24"/>
        <v>1904.4929999999999</v>
      </c>
      <c r="E107" s="456">
        <f t="shared" si="24"/>
        <v>158.76531421399099</v>
      </c>
      <c r="F107" s="461"/>
      <c r="G107" s="462"/>
      <c r="H107" s="462"/>
      <c r="I107" s="463"/>
      <c r="J107" s="460"/>
    </row>
    <row r="108" spans="1:17">
      <c r="A108" s="464" t="str">
        <f t="shared" si="23"/>
        <v>Australia</v>
      </c>
      <c r="B108" s="465">
        <f>SUM(B100:B107)</f>
        <v>47863.666155969768</v>
      </c>
      <c r="C108" s="466">
        <f>SUM(C100:C107)</f>
        <v>21264.492343506143</v>
      </c>
      <c r="D108" s="466">
        <f>SUM(D100:D107)</f>
        <v>25126.464271633133</v>
      </c>
      <c r="E108" s="467">
        <f>SUM(E100:E107)</f>
        <v>1472.7095408304951</v>
      </c>
      <c r="F108" s="468">
        <f>F41</f>
        <v>0</v>
      </c>
      <c r="G108" s="469">
        <f>G41</f>
        <v>0</v>
      </c>
      <c r="H108" s="469">
        <f>H41</f>
        <v>0</v>
      </c>
      <c r="I108" s="470">
        <f>I41</f>
        <v>0</v>
      </c>
      <c r="J108" s="471">
        <f>SUM(D108:E108)/B108</f>
        <v>0.55572788189243338</v>
      </c>
    </row>
    <row r="109" spans="1:17">
      <c r="A109" s="438"/>
      <c r="B109" s="438"/>
      <c r="C109" s="438"/>
      <c r="D109" s="438"/>
      <c r="E109" s="438"/>
      <c r="F109" s="438"/>
      <c r="G109" s="438"/>
      <c r="H109" s="438"/>
      <c r="I109" s="438"/>
      <c r="J109" s="438"/>
    </row>
    <row r="110" spans="1:17">
      <c r="A110" s="436" t="str">
        <f>A43</f>
        <v>2008/09, excluding fly ash</v>
      </c>
      <c r="B110" s="437"/>
      <c r="C110" s="437"/>
      <c r="D110" s="437"/>
      <c r="E110" s="437"/>
      <c r="F110" s="437"/>
      <c r="G110" s="438"/>
      <c r="H110" s="438"/>
      <c r="I110" s="438"/>
      <c r="J110" s="438"/>
    </row>
    <row r="111" spans="1:17">
      <c r="A111" s="436"/>
      <c r="B111" s="439" t="str">
        <f>B44</f>
        <v>Thousands of tonnes</v>
      </c>
      <c r="C111" s="440"/>
      <c r="D111" s="440"/>
      <c r="E111" s="441"/>
      <c r="F111" s="439" t="str">
        <f>F44</f>
        <v>Tonnes per capita</v>
      </c>
      <c r="G111" s="438"/>
      <c r="H111" s="438"/>
      <c r="I111" s="438"/>
      <c r="J111" s="438"/>
    </row>
    <row r="112" spans="1:17" ht="30">
      <c r="A112" s="438"/>
      <c r="B112" s="442" t="str">
        <f>B45</f>
        <v>Generation</v>
      </c>
      <c r="C112" s="443" t="str">
        <f t="shared" ref="C112:E114" si="25">C45</f>
        <v>Disposal</v>
      </c>
      <c r="D112" s="443" t="str">
        <f t="shared" si="25"/>
        <v>Recycling</v>
      </c>
      <c r="E112" s="444" t="str">
        <f t="shared" si="25"/>
        <v>Energy recovery</v>
      </c>
      <c r="F112" s="445" t="str">
        <f>F45</f>
        <v>Generation</v>
      </c>
      <c r="G112" s="443" t="str">
        <f>G45</f>
        <v>Disposal</v>
      </c>
      <c r="H112" s="443" t="str">
        <f>H45</f>
        <v>Recycling</v>
      </c>
      <c r="I112" s="443" t="str">
        <f>I45</f>
        <v>Energy recovery</v>
      </c>
      <c r="J112" s="442" t="str">
        <f>J45</f>
        <v>Recovery rate</v>
      </c>
    </row>
    <row r="113" spans="1:10">
      <c r="A113" s="446" t="str">
        <f t="shared" ref="A113:A121" si="26">A46</f>
        <v>ACT</v>
      </c>
      <c r="B113" s="447">
        <f>B46</f>
        <v>739.37598078339249</v>
      </c>
      <c r="C113" s="448">
        <f t="shared" si="25"/>
        <v>152.26891904536302</v>
      </c>
      <c r="D113" s="448">
        <f t="shared" si="25"/>
        <v>556.10340303686348</v>
      </c>
      <c r="E113" s="449">
        <f t="shared" si="25"/>
        <v>31.003658701166092</v>
      </c>
      <c r="F113" s="450"/>
      <c r="G113" s="451"/>
      <c r="H113" s="451"/>
      <c r="I113" s="452"/>
      <c r="J113" s="453"/>
    </row>
    <row r="114" spans="1:10">
      <c r="A114" s="438" t="str">
        <f t="shared" si="26"/>
        <v>NSW</v>
      </c>
      <c r="B114" s="454">
        <f>B47</f>
        <v>16261.460685447322</v>
      </c>
      <c r="C114" s="455">
        <f t="shared" si="25"/>
        <v>6309.437777641886</v>
      </c>
      <c r="D114" s="455">
        <f t="shared" si="25"/>
        <v>9529</v>
      </c>
      <c r="E114" s="456">
        <f t="shared" si="25"/>
        <v>423.02290780543615</v>
      </c>
      <c r="F114" s="457"/>
      <c r="G114" s="458"/>
      <c r="H114" s="458"/>
      <c r="I114" s="459"/>
      <c r="J114" s="460"/>
    </row>
    <row r="115" spans="1:10">
      <c r="A115" s="438" t="str">
        <f t="shared" si="26"/>
        <v>NT</v>
      </c>
      <c r="B115" s="454">
        <f>B$76*[2]Popn!$D$41/[2]Popn!$D$43</f>
        <v>295.70992282944962</v>
      </c>
      <c r="C115" s="455">
        <f>C$76*[2]Popn!$D$41/[2]Popn!$D$43</f>
        <v>268.65348050420249</v>
      </c>
      <c r="D115" s="455">
        <f>D$76*[2]Popn!$D$41/[2]Popn!$D$43</f>
        <v>13.606061658561538</v>
      </c>
      <c r="E115" s="456">
        <f>E$76*[2]Popn!$D$41/[2]Popn!$D$43</f>
        <v>13.450380666685628</v>
      </c>
      <c r="F115" s="457"/>
      <c r="G115" s="458"/>
      <c r="H115" s="458"/>
      <c r="I115" s="459"/>
      <c r="J115" s="460"/>
    </row>
    <row r="116" spans="1:10">
      <c r="A116" s="438" t="str">
        <f t="shared" si="26"/>
        <v>Qld</v>
      </c>
      <c r="B116" s="454">
        <f t="shared" ref="B116:E120" si="27">B49</f>
        <v>8099.2169999999996</v>
      </c>
      <c r="C116" s="455">
        <f t="shared" si="27"/>
        <v>4266.7255465599583</v>
      </c>
      <c r="D116" s="455">
        <f t="shared" si="27"/>
        <v>3498.259</v>
      </c>
      <c r="E116" s="456">
        <f t="shared" si="27"/>
        <v>334.23245344004096</v>
      </c>
      <c r="F116" s="457"/>
      <c r="G116" s="458"/>
      <c r="H116" s="458"/>
      <c r="I116" s="459"/>
      <c r="J116" s="460"/>
    </row>
    <row r="117" spans="1:10">
      <c r="A117" s="438" t="str">
        <f t="shared" si="26"/>
        <v>SA</v>
      </c>
      <c r="B117" s="454">
        <f t="shared" si="27"/>
        <v>3397.312894166043</v>
      </c>
      <c r="C117" s="455">
        <f t="shared" si="27"/>
        <v>949.23035905019219</v>
      </c>
      <c r="D117" s="455">
        <f t="shared" si="27"/>
        <v>2309.3719999999998</v>
      </c>
      <c r="E117" s="456">
        <f t="shared" si="27"/>
        <v>138.71053511585114</v>
      </c>
      <c r="F117" s="457"/>
      <c r="G117" s="458"/>
      <c r="H117" s="458"/>
      <c r="I117" s="459"/>
      <c r="J117" s="460"/>
    </row>
    <row r="118" spans="1:10">
      <c r="A118" s="438" t="str">
        <f t="shared" si="26"/>
        <v>Tas</v>
      </c>
      <c r="B118" s="454">
        <f t="shared" si="27"/>
        <v>507.22863184354492</v>
      </c>
      <c r="C118" s="455">
        <f t="shared" si="27"/>
        <v>343.12703839698634</v>
      </c>
      <c r="D118" s="455">
        <f t="shared" si="27"/>
        <v>112.49129288554649</v>
      </c>
      <c r="E118" s="456">
        <f t="shared" si="27"/>
        <v>51.610300561012075</v>
      </c>
      <c r="F118" s="457"/>
      <c r="G118" s="458"/>
      <c r="H118" s="458"/>
      <c r="I118" s="459"/>
      <c r="J118" s="460"/>
    </row>
    <row r="119" spans="1:10">
      <c r="A119" s="438" t="str">
        <f t="shared" si="26"/>
        <v>Vic</v>
      </c>
      <c r="B119" s="454">
        <f t="shared" si="27"/>
        <v>10380.618310933332</v>
      </c>
      <c r="C119" s="455">
        <f t="shared" si="27"/>
        <v>4339.0067038251836</v>
      </c>
      <c r="D119" s="455">
        <f t="shared" si="27"/>
        <v>5786.1171333333332</v>
      </c>
      <c r="E119" s="456">
        <f t="shared" si="27"/>
        <v>255.49447377481545</v>
      </c>
      <c r="F119" s="457"/>
      <c r="G119" s="458"/>
      <c r="H119" s="458"/>
      <c r="I119" s="459"/>
      <c r="J119" s="460"/>
    </row>
    <row r="120" spans="1:10">
      <c r="A120" s="438" t="str">
        <f t="shared" si="26"/>
        <v>WA</v>
      </c>
      <c r="B120" s="454">
        <f t="shared" si="27"/>
        <v>5596.946672399341</v>
      </c>
      <c r="C120" s="455">
        <f t="shared" si="27"/>
        <v>3835.1113037524383</v>
      </c>
      <c r="D120" s="455">
        <f t="shared" si="27"/>
        <v>1554.0229999999999</v>
      </c>
      <c r="E120" s="456">
        <f t="shared" si="27"/>
        <v>207.81236864690237</v>
      </c>
      <c r="F120" s="461"/>
      <c r="G120" s="462"/>
      <c r="H120" s="462"/>
      <c r="I120" s="463"/>
      <c r="J120" s="460"/>
    </row>
    <row r="121" spans="1:10">
      <c r="A121" s="464" t="str">
        <f t="shared" si="26"/>
        <v>Australia</v>
      </c>
      <c r="B121" s="465">
        <f>SUM(B113:B120)</f>
        <v>45277.870098402425</v>
      </c>
      <c r="C121" s="466">
        <f>SUM(C113:C120)</f>
        <v>20463.561128776211</v>
      </c>
      <c r="D121" s="466">
        <f>SUM(D113:D120)</f>
        <v>23358.971890914305</v>
      </c>
      <c r="E121" s="467">
        <f>SUM(E113:E120)</f>
        <v>1455.33707871191</v>
      </c>
      <c r="F121" s="468">
        <f>F54</f>
        <v>0</v>
      </c>
      <c r="G121" s="469">
        <f>G54</f>
        <v>0</v>
      </c>
      <c r="H121" s="469">
        <f>H54</f>
        <v>0</v>
      </c>
      <c r="I121" s="470">
        <f>I54</f>
        <v>0</v>
      </c>
      <c r="J121" s="471">
        <f>SUM(D121:E121)/B121</f>
        <v>0.54804497021828236</v>
      </c>
    </row>
    <row r="122" spans="1:10">
      <c r="A122" s="438"/>
      <c r="B122" s="438"/>
      <c r="C122" s="438"/>
      <c r="D122" s="438"/>
      <c r="E122" s="438"/>
      <c r="F122" s="438"/>
      <c r="G122" s="438"/>
      <c r="H122" s="438"/>
      <c r="I122" s="438"/>
      <c r="J122" s="438"/>
    </row>
    <row r="123" spans="1:10">
      <c r="A123" s="436" t="str">
        <f>A56</f>
        <v>2006/07, excluding fly ash</v>
      </c>
      <c r="B123" s="437"/>
      <c r="C123" s="437"/>
      <c r="D123" s="437"/>
      <c r="E123" s="437"/>
      <c r="F123" s="437"/>
      <c r="G123" s="438"/>
      <c r="H123" s="438"/>
      <c r="I123" s="438"/>
      <c r="J123" s="438"/>
    </row>
    <row r="124" spans="1:10">
      <c r="A124" s="436"/>
      <c r="B124" s="439" t="str">
        <f>B57</f>
        <v>Thousands of tonnes</v>
      </c>
      <c r="C124" s="440"/>
      <c r="D124" s="440"/>
      <c r="E124" s="441"/>
      <c r="F124" s="439" t="str">
        <f>F57</f>
        <v>Tonnes per capita</v>
      </c>
      <c r="G124" s="438"/>
      <c r="H124" s="438"/>
      <c r="I124" s="438"/>
      <c r="J124" s="438"/>
    </row>
    <row r="125" spans="1:10" ht="30">
      <c r="A125" s="438"/>
      <c r="B125" s="442" t="str">
        <f>B58</f>
        <v>Generation</v>
      </c>
      <c r="C125" s="443" t="str">
        <f t="shared" ref="C125:E127" si="28">C58</f>
        <v>Disposal</v>
      </c>
      <c r="D125" s="443" t="str">
        <f t="shared" si="28"/>
        <v>Recycling</v>
      </c>
      <c r="E125" s="444" t="str">
        <f t="shared" si="28"/>
        <v>Energy recovery</v>
      </c>
      <c r="F125" s="445" t="str">
        <f>F58</f>
        <v>Generation</v>
      </c>
      <c r="G125" s="443" t="str">
        <f>G58</f>
        <v>Disposal</v>
      </c>
      <c r="H125" s="443" t="str">
        <f>H58</f>
        <v>Recycling</v>
      </c>
      <c r="I125" s="443" t="str">
        <f>I58</f>
        <v>Energy recovery</v>
      </c>
      <c r="J125" s="442" t="str">
        <f>J58</f>
        <v>Recovery rate</v>
      </c>
    </row>
    <row r="126" spans="1:10">
      <c r="A126" s="446" t="str">
        <f t="shared" ref="A126:A134" si="29">A59</f>
        <v>ACT</v>
      </c>
      <c r="B126" s="447">
        <f>B59</f>
        <v>735.31755108597088</v>
      </c>
      <c r="C126" s="448">
        <f t="shared" si="28"/>
        <v>158.88235406014516</v>
      </c>
      <c r="D126" s="448">
        <f t="shared" si="28"/>
        <v>538.93405137825152</v>
      </c>
      <c r="E126" s="449">
        <f t="shared" si="28"/>
        <v>37.501145647574205</v>
      </c>
      <c r="F126" s="450"/>
      <c r="G126" s="451"/>
      <c r="H126" s="451"/>
      <c r="I126" s="452"/>
      <c r="J126" s="453"/>
    </row>
    <row r="127" spans="1:10">
      <c r="A127" s="438" t="str">
        <f t="shared" si="29"/>
        <v>NSW</v>
      </c>
      <c r="B127" s="454">
        <f>B60</f>
        <v>15335.954086442896</v>
      </c>
      <c r="C127" s="455">
        <f t="shared" si="28"/>
        <v>6990.4627906028682</v>
      </c>
      <c r="D127" s="455">
        <f t="shared" si="28"/>
        <v>7994.9995679842305</v>
      </c>
      <c r="E127" s="456">
        <f t="shared" si="28"/>
        <v>350.49172785579788</v>
      </c>
      <c r="F127" s="457"/>
      <c r="G127" s="458"/>
      <c r="H127" s="458"/>
      <c r="I127" s="459"/>
      <c r="J127" s="460"/>
    </row>
    <row r="128" spans="1:10">
      <c r="A128" s="438" t="str">
        <f t="shared" si="29"/>
        <v>NT</v>
      </c>
      <c r="B128" s="454">
        <f>B$76*[2]Popn!$D$40/[2]Popn!$D$43</f>
        <v>281.04053504222594</v>
      </c>
      <c r="C128" s="455">
        <f>C$76*[2]Popn!$D$40/[2]Popn!$D$43</f>
        <v>255.32629131760069</v>
      </c>
      <c r="D128" s="455">
        <f>D$76*[2]Popn!$D$40/[2]Popn!$D$43</f>
        <v>12.931100896959263</v>
      </c>
      <c r="E128" s="456">
        <f>E$76*[2]Popn!$D$40/[2]Popn!$D$43</f>
        <v>12.783142827665984</v>
      </c>
      <c r="F128" s="457"/>
      <c r="G128" s="458"/>
      <c r="H128" s="458"/>
      <c r="I128" s="459"/>
      <c r="J128" s="460"/>
    </row>
    <row r="129" spans="1:10">
      <c r="A129" s="438" t="str">
        <f t="shared" si="29"/>
        <v>Qld</v>
      </c>
      <c r="B129" s="454">
        <f>B$116*[2]Popn!$E$40/[2]Popn!$E$41</f>
        <v>7747.1173534817153</v>
      </c>
      <c r="C129" s="455">
        <f>C$116*[2]Popn!$E$40/[2]Popn!$E$41</f>
        <v>4081.236929977109</v>
      </c>
      <c r="D129" s="455">
        <f>D$116*[2]Popn!$E$40/[2]Popn!$E$41</f>
        <v>3346.1781559715705</v>
      </c>
      <c r="E129" s="456">
        <f>E$116*[2]Popn!$E$40/[2]Popn!$E$41</f>
        <v>319.70226753303569</v>
      </c>
      <c r="F129" s="457"/>
      <c r="G129" s="458"/>
      <c r="H129" s="458"/>
      <c r="I129" s="459"/>
      <c r="J129" s="460"/>
    </row>
    <row r="130" spans="1:10">
      <c r="A130" s="438" t="str">
        <f t="shared" si="29"/>
        <v>SA</v>
      </c>
      <c r="B130" s="454">
        <f t="shared" ref="B130:E133" si="30">B63</f>
        <v>3223.8992595362752</v>
      </c>
      <c r="C130" s="455">
        <f t="shared" si="30"/>
        <v>1009.3061727818958</v>
      </c>
      <c r="D130" s="455">
        <f t="shared" si="30"/>
        <v>2109.9630000000002</v>
      </c>
      <c r="E130" s="456">
        <f t="shared" si="30"/>
        <v>104.63008675437931</v>
      </c>
      <c r="F130" s="457"/>
      <c r="G130" s="458"/>
      <c r="H130" s="458"/>
      <c r="I130" s="459"/>
      <c r="J130" s="460"/>
    </row>
    <row r="131" spans="1:10">
      <c r="A131" s="438" t="str">
        <f t="shared" si="29"/>
        <v>Tas</v>
      </c>
      <c r="B131" s="454">
        <f t="shared" si="30"/>
        <v>527.44927719243412</v>
      </c>
      <c r="C131" s="455">
        <f t="shared" si="30"/>
        <v>410.75286015704131</v>
      </c>
      <c r="D131" s="455">
        <f t="shared" si="30"/>
        <v>80.237460899711294</v>
      </c>
      <c r="E131" s="456">
        <f t="shared" si="30"/>
        <v>36.458956135681511</v>
      </c>
      <c r="F131" s="457"/>
      <c r="G131" s="458"/>
      <c r="H131" s="458"/>
      <c r="I131" s="459"/>
      <c r="J131" s="460"/>
    </row>
    <row r="132" spans="1:10">
      <c r="A132" s="438" t="str">
        <f t="shared" si="29"/>
        <v>Vic</v>
      </c>
      <c r="B132" s="454">
        <f t="shared" si="30"/>
        <v>11029.537200049999</v>
      </c>
      <c r="C132" s="455">
        <f t="shared" si="30"/>
        <v>4915.6694696252325</v>
      </c>
      <c r="D132" s="455">
        <f t="shared" si="30"/>
        <v>5855.0514999999996</v>
      </c>
      <c r="E132" s="456">
        <f t="shared" si="30"/>
        <v>258.81623042476741</v>
      </c>
      <c r="F132" s="457"/>
      <c r="G132" s="458"/>
      <c r="H132" s="458"/>
      <c r="I132" s="459"/>
      <c r="J132" s="460"/>
    </row>
    <row r="133" spans="1:10">
      <c r="A133" s="438" t="str">
        <f t="shared" si="29"/>
        <v>WA</v>
      </c>
      <c r="B133" s="454">
        <f t="shared" si="30"/>
        <v>5409.6590701967007</v>
      </c>
      <c r="C133" s="455">
        <f t="shared" si="30"/>
        <v>3718.8426667260342</v>
      </c>
      <c r="D133" s="455">
        <f t="shared" si="30"/>
        <v>1492.473</v>
      </c>
      <c r="E133" s="456">
        <f t="shared" si="30"/>
        <v>198.34340347066686</v>
      </c>
      <c r="F133" s="461"/>
      <c r="G133" s="462"/>
      <c r="H133" s="462"/>
      <c r="I133" s="463"/>
      <c r="J133" s="460"/>
    </row>
    <row r="134" spans="1:10">
      <c r="A134" s="464" t="str">
        <f t="shared" si="29"/>
        <v>Australia</v>
      </c>
      <c r="B134" s="465">
        <f>SUM(B126:B133)</f>
        <v>44289.974333028214</v>
      </c>
      <c r="C134" s="466">
        <f>SUM(C126:C133)</f>
        <v>21540.479535247927</v>
      </c>
      <c r="D134" s="466">
        <f>SUM(D126:D133)</f>
        <v>21430.767837130719</v>
      </c>
      <c r="E134" s="467">
        <f>SUM(E126:E133)</f>
        <v>1318.7269606495688</v>
      </c>
      <c r="F134" s="468">
        <f>F67</f>
        <v>0</v>
      </c>
      <c r="G134" s="469">
        <f>G67</f>
        <v>0</v>
      </c>
      <c r="H134" s="469">
        <f>H67</f>
        <v>0</v>
      </c>
      <c r="I134" s="470">
        <f>I67</f>
        <v>0</v>
      </c>
      <c r="J134" s="471">
        <f>SUM(D134:E134)/B134</f>
        <v>0.51364885937211713</v>
      </c>
    </row>
    <row r="137" spans="1:10">
      <c r="A137" s="375" t="s">
        <v>126</v>
      </c>
      <c r="B137" s="377"/>
      <c r="C137" s="376"/>
      <c r="D137" s="376"/>
      <c r="E137" s="376"/>
      <c r="F137" s="376"/>
    </row>
    <row r="138" spans="1:10">
      <c r="A138" s="375"/>
      <c r="B138" s="377"/>
      <c r="C138" s="378" t="s">
        <v>127</v>
      </c>
      <c r="D138" s="379"/>
      <c r="E138" s="379"/>
      <c r="F138" s="379"/>
    </row>
    <row r="139" spans="1:10" ht="30">
      <c r="A139" s="377"/>
      <c r="B139" s="377"/>
      <c r="C139" s="382" t="s">
        <v>72</v>
      </c>
      <c r="D139" s="382" t="s">
        <v>68</v>
      </c>
      <c r="E139" s="383" t="s">
        <v>69</v>
      </c>
      <c r="F139" s="382" t="s">
        <v>73</v>
      </c>
    </row>
    <row r="140" spans="1:10">
      <c r="A140" s="385" t="s">
        <v>118</v>
      </c>
      <c r="B140" s="385" t="s">
        <v>44</v>
      </c>
      <c r="C140" s="390">
        <f>ACT!$BH$10/1000</f>
        <v>6.4120920444075261E-2</v>
      </c>
      <c r="D140" s="390">
        <f>ACT!$BH$11/1000</f>
        <v>0</v>
      </c>
      <c r="E140" s="390">
        <f>ACT!$BH$12/1000</f>
        <v>1.1910904373442966E-2</v>
      </c>
      <c r="F140" s="392"/>
      <c r="G140" s="374" t="s">
        <v>201</v>
      </c>
      <c r="H140" s="374"/>
      <c r="I140" s="374"/>
    </row>
    <row r="141" spans="1:10">
      <c r="A141" s="609"/>
      <c r="B141" s="609" t="s">
        <v>45</v>
      </c>
      <c r="C141" s="397">
        <f>ACT!$BI$10/1000</f>
        <v>9.300771472668419E-2</v>
      </c>
      <c r="D141" s="397">
        <f>ACT!$BI$11/1000</f>
        <v>0</v>
      </c>
      <c r="E141" s="397">
        <f>ACT!$BI$12/1000</f>
        <v>1.5057830071705584E-2</v>
      </c>
      <c r="F141" s="399"/>
    </row>
    <row r="142" spans="1:10">
      <c r="A142" s="609"/>
      <c r="B142" s="609" t="s">
        <v>46</v>
      </c>
      <c r="C142" s="397">
        <f>ACT!$BJ$10/1000</f>
        <v>4.1376403506857826E-2</v>
      </c>
      <c r="D142" s="397">
        <f>ACT!$BJ$11/1000</f>
        <v>0</v>
      </c>
      <c r="E142" s="397">
        <f>ACT!$BJ$12/1000</f>
        <v>4.306808171974286E-3</v>
      </c>
      <c r="F142" s="399"/>
    </row>
    <row r="143" spans="1:10">
      <c r="A143" s="609" t="s">
        <v>119</v>
      </c>
      <c r="B143" s="609" t="s">
        <v>44</v>
      </c>
      <c r="C143" s="397">
        <f>NSW!$BH$10/1000</f>
        <v>2.0238761619114016</v>
      </c>
      <c r="D143" s="397">
        <f>NSW!$BH$11/1000</f>
        <v>2.4569999999999999</v>
      </c>
      <c r="E143" s="397">
        <f>NSW!$BH$12/1000</f>
        <v>0.27412383808859825</v>
      </c>
      <c r="F143" s="399">
        <f t="shared" ref="F143:F169" si="31">SUM(D143:E143)/SUM(C143:E143)</f>
        <v>0.57436884081779149</v>
      </c>
    </row>
    <row r="144" spans="1:10" ht="30">
      <c r="A144" s="609"/>
      <c r="B144" s="612" t="s">
        <v>202</v>
      </c>
      <c r="C144" s="397">
        <f>NSW!$BI$10/1000</f>
        <v>2.1816746066493597</v>
      </c>
      <c r="D144" s="397">
        <f>NSW!$BI$11/1000</f>
        <v>3.0994999999999999</v>
      </c>
      <c r="E144" s="397">
        <f>NSW!$BI$12/1000</f>
        <v>0.18982505420182855</v>
      </c>
      <c r="F144" s="399">
        <f t="shared" si="31"/>
        <v>0.60122925573167907</v>
      </c>
    </row>
    <row r="145" spans="1:6">
      <c r="A145" s="609"/>
      <c r="B145" s="609" t="s">
        <v>46</v>
      </c>
      <c r="C145" s="397">
        <f>NSW!$BJ$10/1000</f>
        <v>1.7304238111413084</v>
      </c>
      <c r="D145" s="397">
        <f>NSW!$BJ$11/1000</f>
        <v>5.1559999999999997</v>
      </c>
      <c r="E145" s="487">
        <f>NSW!$BJ$12/1000</f>
        <v>1.8576188858691615E-2</v>
      </c>
      <c r="F145" s="399">
        <f t="shared" si="31"/>
        <v>0.74939553785064328</v>
      </c>
    </row>
    <row r="146" spans="1:6">
      <c r="A146" s="609"/>
      <c r="B146" s="609"/>
      <c r="C146" s="397"/>
      <c r="D146" s="397"/>
      <c r="E146" s="397"/>
      <c r="F146" s="399"/>
    </row>
    <row r="147" spans="1:6">
      <c r="A147" s="609" t="s">
        <v>120</v>
      </c>
      <c r="B147" s="609" t="s">
        <v>44</v>
      </c>
      <c r="C147" s="487">
        <f>NT!$BH$10/1000</f>
        <v>0.11525616749664845</v>
      </c>
      <c r="D147" s="487">
        <f>NT!$BH$11/1000</f>
        <v>1.3555261369799334E-2</v>
      </c>
      <c r="E147" s="487">
        <f>NT!$BH$12/1000</f>
        <v>9.4913340946544463E-3</v>
      </c>
      <c r="F147" s="399">
        <f t="shared" si="31"/>
        <v>0.16663872052169815</v>
      </c>
    </row>
    <row r="148" spans="1:6" ht="30">
      <c r="A148" s="609"/>
      <c r="B148" s="612" t="s">
        <v>203</v>
      </c>
      <c r="C148" s="487">
        <f>NT!$BI$10/1000</f>
        <v>3.7739951001677284E-2</v>
      </c>
      <c r="D148" s="394">
        <f>NT!$BI$11/1000</f>
        <v>4.3682999999999998E-4</v>
      </c>
      <c r="E148" s="623">
        <f>NT!$BI$12/1000</f>
        <v>2.8755146327004068E-3</v>
      </c>
      <c r="F148" s="399">
        <f t="shared" si="31"/>
        <v>8.0685978250790172E-2</v>
      </c>
    </row>
    <row r="149" spans="1:6">
      <c r="A149" s="609"/>
      <c r="B149" s="609" t="s">
        <v>46</v>
      </c>
      <c r="C149" s="487">
        <f>NT!$BJ$10/1000</f>
        <v>0.12327956952665539</v>
      </c>
      <c r="D149" s="394">
        <f>NT!$BJ$11/1000</f>
        <v>0</v>
      </c>
      <c r="E149" s="623">
        <f>NT!$BJ$12/1000</f>
        <v>1.4651446862884423E-3</v>
      </c>
      <c r="F149" s="399">
        <f t="shared" si="31"/>
        <v>1.1745144437842763E-2</v>
      </c>
    </row>
    <row r="150" spans="1:6">
      <c r="A150" s="609"/>
      <c r="B150" s="609"/>
      <c r="C150" s="397"/>
      <c r="D150" s="397"/>
      <c r="E150" s="397"/>
      <c r="F150" s="399"/>
    </row>
    <row r="151" spans="1:6">
      <c r="A151" s="609" t="s">
        <v>121</v>
      </c>
      <c r="B151" s="609" t="s">
        <v>44</v>
      </c>
      <c r="C151" s="397">
        <f>Qld!$BH$57/1000</f>
        <v>1.6020147232249229</v>
      </c>
      <c r="D151" s="397">
        <f>Qld!$BH$58/1000</f>
        <v>1.2197004394041975</v>
      </c>
      <c r="E151" s="397">
        <f>Qld!$BH$59/1000</f>
        <v>0.23752827677507676</v>
      </c>
      <c r="F151" s="399">
        <f t="shared" si="31"/>
        <v>0.47633630505164276</v>
      </c>
    </row>
    <row r="152" spans="1:6" ht="30">
      <c r="A152" s="609"/>
      <c r="B152" s="612" t="s">
        <v>204</v>
      </c>
      <c r="C152" s="397">
        <f>Qld!$BI$57/1000</f>
        <v>1.0990219549128326</v>
      </c>
      <c r="D152" s="397">
        <f>Qld!$BI$58/1000</f>
        <v>1.074889801411143</v>
      </c>
      <c r="E152" s="397">
        <f>Qld!$BI$59/1000</f>
        <v>0.11028004508716732</v>
      </c>
      <c r="F152" s="399">
        <f t="shared" si="31"/>
        <v>0.51885741195906943</v>
      </c>
    </row>
    <row r="153" spans="1:6">
      <c r="A153" s="609"/>
      <c r="B153" s="609" t="s">
        <v>46</v>
      </c>
      <c r="C153" s="397">
        <f>Qld!$BJ$57/1000</f>
        <v>0.8780234027771443</v>
      </c>
      <c r="D153" s="397">
        <f>Qld!$BJ$58/1000</f>
        <v>1.2790722961846599</v>
      </c>
      <c r="E153" s="487">
        <f>Qld!$BJ$59/1000</f>
        <v>7.7705972228557666E-3</v>
      </c>
      <c r="F153" s="399">
        <f t="shared" si="31"/>
        <v>0.59442141793025993</v>
      </c>
    </row>
    <row r="154" spans="1:6">
      <c r="A154" s="609"/>
      <c r="B154" s="609"/>
      <c r="C154" s="397"/>
      <c r="D154" s="397"/>
      <c r="E154" s="397"/>
      <c r="F154" s="399"/>
    </row>
    <row r="155" spans="1:6">
      <c r="A155" s="609" t="s">
        <v>122</v>
      </c>
      <c r="B155" s="609" t="s">
        <v>44</v>
      </c>
      <c r="C155" s="397">
        <f>SA!$BH$10/1000</f>
        <v>0.30698064209297599</v>
      </c>
      <c r="D155" s="397">
        <f>SA!$BH$11/1000</f>
        <v>0.43798461538461542</v>
      </c>
      <c r="E155" s="487">
        <f>SA!$BH$12/1000</f>
        <v>4.005935790702405E-2</v>
      </c>
      <c r="F155" s="399">
        <f t="shared" si="31"/>
        <v>0.60895411930163013</v>
      </c>
    </row>
    <row r="156" spans="1:6" ht="30">
      <c r="A156" s="609"/>
      <c r="B156" s="612" t="s">
        <v>205</v>
      </c>
      <c r="C156" s="397">
        <f>SA!$BI$10/1000</f>
        <v>0.16392352803554899</v>
      </c>
      <c r="D156" s="397">
        <f>SA!$BI$11/1000</f>
        <v>1.1945034965034966</v>
      </c>
      <c r="E156" s="397">
        <f>SA!$BI$12/1000</f>
        <v>7.4236471964451017E-2</v>
      </c>
      <c r="F156" s="399">
        <f t="shared" si="31"/>
        <v>0.88558127680672083</v>
      </c>
    </row>
    <row r="157" spans="1:6">
      <c r="A157" s="609"/>
      <c r="B157" s="609" t="s">
        <v>46</v>
      </c>
      <c r="C157" s="397">
        <f>SA!$BJ$10/1000</f>
        <v>0.41183082026073253</v>
      </c>
      <c r="D157" s="397">
        <f>SA!$BJ$11/1000</f>
        <v>1.2144118881118879</v>
      </c>
      <c r="E157" s="487">
        <f>SA!$BJ$12/1000</f>
        <v>2.191402192326147E-2</v>
      </c>
      <c r="F157" s="399">
        <f t="shared" si="31"/>
        <v>0.75012642141940011</v>
      </c>
    </row>
    <row r="158" spans="1:6">
      <c r="A158" s="609"/>
      <c r="B158" s="609"/>
      <c r="C158" s="397"/>
      <c r="D158" s="397"/>
      <c r="E158" s="397"/>
      <c r="F158" s="399"/>
    </row>
    <row r="159" spans="1:6">
      <c r="A159" s="609" t="s">
        <v>123</v>
      </c>
      <c r="B159" s="609" t="s">
        <v>44</v>
      </c>
      <c r="C159" s="397">
        <f>Tas!$BH$10/1000</f>
        <v>0.15414175310174033</v>
      </c>
      <c r="D159" s="397">
        <f>Tas!$BH$11/1000</f>
        <v>8.6334668315888263E-2</v>
      </c>
      <c r="E159" s="487">
        <f>Tas!$BH$12/1000</f>
        <v>1.7270246898259688E-2</v>
      </c>
      <c r="F159" s="399">
        <f t="shared" si="31"/>
        <v>0.40196412970573181</v>
      </c>
    </row>
    <row r="160" spans="1:6" ht="30">
      <c r="A160" s="609"/>
      <c r="B160" s="612" t="s">
        <v>206</v>
      </c>
      <c r="C160" s="397">
        <f>Tas!$BI$10/1000</f>
        <v>0.213371456364012</v>
      </c>
      <c r="D160" s="397">
        <f>Tas!$BI$11/1000</f>
        <v>7.0541331684111711E-2</v>
      </c>
      <c r="E160" s="487">
        <f>Tas!$BI$12/1000</f>
        <v>2.1984543635987973E-2</v>
      </c>
      <c r="F160" s="399">
        <f t="shared" si="31"/>
        <v>0.30247362672534711</v>
      </c>
    </row>
    <row r="161" spans="1:6">
      <c r="A161" s="609"/>
      <c r="B161" s="609" t="s">
        <v>46</v>
      </c>
      <c r="C161" s="487">
        <f>Tas!$BJ$10/1000</f>
        <v>3.819687020247986E-2</v>
      </c>
      <c r="D161" s="394">
        <f>Tas!$BJ$11/1000</f>
        <v>0</v>
      </c>
      <c r="E161" s="623">
        <f>Tas!$BJ$12/1000</f>
        <v>5.8726317920492215E-4</v>
      </c>
      <c r="F161" s="399">
        <f t="shared" si="31"/>
        <v>1.5141840954018798E-2</v>
      </c>
    </row>
    <row r="162" spans="1:6">
      <c r="A162" s="609"/>
      <c r="B162" s="609"/>
      <c r="C162" s="397"/>
      <c r="D162" s="397"/>
      <c r="E162" s="397"/>
      <c r="F162" s="399"/>
    </row>
    <row r="163" spans="1:6">
      <c r="A163" s="609" t="s">
        <v>124</v>
      </c>
      <c r="B163" s="609" t="s">
        <v>44</v>
      </c>
      <c r="C163" s="397">
        <f>Vic!$BH$10/1000</f>
        <v>1.6467848177484605</v>
      </c>
      <c r="D163" s="397">
        <f>Vic!$BH$11/1000</f>
        <v>1.5435901320000001</v>
      </c>
      <c r="E163" s="397">
        <f>Vic!$BH$12/1000</f>
        <v>0.21916048530153953</v>
      </c>
      <c r="F163" s="399">
        <f t="shared" si="31"/>
        <v>0.51700609976962719</v>
      </c>
    </row>
    <row r="164" spans="1:6" ht="30">
      <c r="A164" s="609"/>
      <c r="B164" s="612" t="s">
        <v>207</v>
      </c>
      <c r="C164" s="397">
        <f>Vic!$BI$10/1000</f>
        <v>1.5266733693229311</v>
      </c>
      <c r="D164" s="397">
        <f>Vic!$BI$11/1000</f>
        <v>2.4843753799999999</v>
      </c>
      <c r="E164" s="397">
        <f>Vic!$BI$12/1000</f>
        <v>8.0377808597069056E-2</v>
      </c>
      <c r="F164" s="399">
        <f t="shared" si="31"/>
        <v>0.62686037554122409</v>
      </c>
    </row>
    <row r="165" spans="1:6">
      <c r="A165" s="609"/>
      <c r="B165" s="609" t="s">
        <v>46</v>
      </c>
      <c r="C165" s="397">
        <f>Vic!$BJ$10/1000</f>
        <v>1.3850851989400159</v>
      </c>
      <c r="D165" s="397">
        <f>Vic!$BJ$11/1000</f>
        <v>3.1406844879999998</v>
      </c>
      <c r="E165" s="623">
        <f>Vic!$BJ$12/1000</f>
        <v>1.7435863399844081E-3</v>
      </c>
      <c r="F165" s="399">
        <f t="shared" si="31"/>
        <v>0.69407374085143703</v>
      </c>
    </row>
    <row r="166" spans="1:6">
      <c r="A166" s="609"/>
      <c r="B166" s="609"/>
      <c r="C166" s="397"/>
      <c r="D166" s="397"/>
      <c r="E166" s="397"/>
      <c r="F166" s="399"/>
    </row>
    <row r="167" spans="1:6">
      <c r="A167" s="609" t="s">
        <v>125</v>
      </c>
      <c r="B167" s="609" t="s">
        <v>44</v>
      </c>
      <c r="C167" s="397">
        <f>WA!$BH$10/1000</f>
        <v>0.9638144247995204</v>
      </c>
      <c r="D167" s="397">
        <f>WA!$BH$11/1000</f>
        <v>0.58259270144460029</v>
      </c>
      <c r="E167" s="397">
        <f>WA!$BH$12/1000</f>
        <v>7.4313271483757062E-2</v>
      </c>
      <c r="F167" s="399">
        <f t="shared" si="31"/>
        <v>0.40531727363293985</v>
      </c>
    </row>
    <row r="168" spans="1:6" ht="30">
      <c r="A168" s="609"/>
      <c r="B168" s="612" t="s">
        <v>208</v>
      </c>
      <c r="C168" s="397">
        <f>WA!$BI$10/1000</f>
        <v>1.0100488570734909</v>
      </c>
      <c r="D168" s="397">
        <f>WA!$BI$11/1000</f>
        <v>0.45312765667913346</v>
      </c>
      <c r="E168" s="397">
        <f>WA!$BI$12/1000</f>
        <v>7.6564514697791394E-2</v>
      </c>
      <c r="F168" s="399">
        <f t="shared" si="31"/>
        <v>0.34401380595151332</v>
      </c>
    </row>
    <row r="169" spans="1:6">
      <c r="A169" s="609"/>
      <c r="B169" s="609" t="s">
        <v>46</v>
      </c>
      <c r="C169" s="397">
        <f>WA!$BJ$10/1000</f>
        <v>1.6880386602644835</v>
      </c>
      <c r="D169" s="397">
        <f>WA!$BJ$11/1000</f>
        <v>1.1004528805064673</v>
      </c>
      <c r="E169" s="487">
        <f>WA!$BJ$12/1000</f>
        <v>7.8875280324425326E-3</v>
      </c>
      <c r="F169" s="399">
        <f t="shared" si="31"/>
        <v>0.39634841388409586</v>
      </c>
    </row>
    <row r="170" spans="1:6">
      <c r="A170" s="611"/>
      <c r="B170" s="611"/>
      <c r="C170" s="401"/>
      <c r="D170" s="401"/>
      <c r="E170" s="401"/>
      <c r="F170" s="622"/>
    </row>
    <row r="171" spans="1:6">
      <c r="A171" s="610" t="s">
        <v>40</v>
      </c>
      <c r="B171" s="377"/>
      <c r="C171" s="624">
        <f>SUM(C140:C169)</f>
        <v>19.49870578552596</v>
      </c>
      <c r="D171" s="624">
        <f t="shared" ref="D171:E171" si="32">SUM(D140:D169)</f>
        <v>26.608753866999997</v>
      </c>
      <c r="E171" s="624">
        <f t="shared" si="32"/>
        <v>1.5193106362257576</v>
      </c>
      <c r="F171" s="430"/>
    </row>
    <row r="172" spans="1:6">
      <c r="F172" s="430"/>
    </row>
    <row r="174" spans="1:6">
      <c r="A174" s="375" t="s">
        <v>126</v>
      </c>
      <c r="B174" s="377"/>
      <c r="C174" s="376"/>
      <c r="D174" s="376"/>
      <c r="E174" s="376"/>
      <c r="F174" s="376"/>
    </row>
    <row r="175" spans="1:6">
      <c r="A175" s="375"/>
      <c r="B175" s="377"/>
      <c r="C175" s="378" t="s">
        <v>128</v>
      </c>
      <c r="D175" s="379"/>
      <c r="E175" s="379"/>
      <c r="F175" s="379"/>
    </row>
    <row r="176" spans="1:6" ht="30">
      <c r="A176" s="377"/>
      <c r="B176" s="377"/>
      <c r="C176" s="382" t="s">
        <v>72</v>
      </c>
      <c r="D176" s="382" t="s">
        <v>68</v>
      </c>
      <c r="E176" s="383" t="s">
        <v>69</v>
      </c>
      <c r="F176" s="382" t="s">
        <v>73</v>
      </c>
    </row>
    <row r="177" spans="1:6">
      <c r="A177" s="385" t="s">
        <v>118</v>
      </c>
      <c r="B177" s="385" t="s">
        <v>44</v>
      </c>
      <c r="C177" s="390"/>
      <c r="D177" s="390"/>
      <c r="E177" s="613"/>
      <c r="F177" s="392"/>
    </row>
    <row r="178" spans="1:6">
      <c r="A178" s="609"/>
      <c r="B178" s="609" t="s">
        <v>45</v>
      </c>
      <c r="C178" s="397"/>
      <c r="D178" s="397"/>
      <c r="E178" s="614"/>
      <c r="F178" s="399"/>
    </row>
    <row r="179" spans="1:6">
      <c r="A179" s="609"/>
      <c r="B179" s="609" t="s">
        <v>46</v>
      </c>
      <c r="C179" s="397"/>
      <c r="D179" s="397"/>
      <c r="E179" s="614"/>
      <c r="F179" s="399"/>
    </row>
    <row r="180" spans="1:6">
      <c r="A180" s="609" t="s">
        <v>119</v>
      </c>
      <c r="B180" s="609" t="s">
        <v>44</v>
      </c>
      <c r="C180" s="487">
        <f>C143*1000000/[2]Popn!$C$43</f>
        <v>0.28159006720854529</v>
      </c>
      <c r="D180" s="487">
        <f>D143*1000000/[2]Popn!$C$43</f>
        <v>0.34185233669533349</v>
      </c>
      <c r="E180" s="487">
        <f>E143*1000000/[2]Popn!$C$43</f>
        <v>3.81399570999107E-2</v>
      </c>
      <c r="F180" s="399">
        <f t="shared" ref="F180:F182" si="33">SUM(D180:E180)/SUM(C180:E180)</f>
        <v>0.57436884081779138</v>
      </c>
    </row>
    <row r="181" spans="1:6" ht="30">
      <c r="A181" s="609"/>
      <c r="B181" s="612" t="s">
        <v>202</v>
      </c>
      <c r="C181" s="487">
        <f>C144*1000000/[2]Popn!$C$43</f>
        <v>0.30354520235732851</v>
      </c>
      <c r="D181" s="487">
        <f>D144*1000000/[2]Popn!$C$43</f>
        <v>0.43124595750394229</v>
      </c>
      <c r="E181" s="487">
        <f>E144*1000000/[2]Popn!$C$43</f>
        <v>2.6411126716407579E-2</v>
      </c>
      <c r="F181" s="399">
        <f t="shared" si="33"/>
        <v>0.60122925573167907</v>
      </c>
    </row>
    <row r="182" spans="1:6">
      <c r="A182" s="609"/>
      <c r="B182" s="609" t="s">
        <v>46</v>
      </c>
      <c r="C182" s="487">
        <f>C145*1000000/[2]Popn!$C$43</f>
        <v>0.24076085604879965</v>
      </c>
      <c r="D182" s="487">
        <f>D145*1000000/[2]Popn!$C$43</f>
        <v>0.71737511111157493</v>
      </c>
      <c r="E182" s="487">
        <f>E145*1000000/[2]Popn!$C$43</f>
        <v>2.5845802068528889E-3</v>
      </c>
      <c r="F182" s="399">
        <f t="shared" si="33"/>
        <v>0.74939553785064317</v>
      </c>
    </row>
    <row r="183" spans="1:6">
      <c r="A183" s="609"/>
      <c r="B183" s="609"/>
      <c r="C183" s="397"/>
      <c r="D183" s="397"/>
      <c r="E183" s="397"/>
      <c r="F183" s="399"/>
    </row>
    <row r="184" spans="1:6">
      <c r="A184" s="609" t="s">
        <v>120</v>
      </c>
      <c r="B184" s="609" t="s">
        <v>44</v>
      </c>
      <c r="C184" s="487">
        <f>C147*1000000/[2]Popn!$D$43</f>
        <v>0.49950016900468686</v>
      </c>
      <c r="D184" s="487">
        <f>D147*1000000/[2]Popn!$D$43</f>
        <v>5.874614341409852E-2</v>
      </c>
      <c r="E184" s="487">
        <f>E147*1000000/[2]Popn!$D$43</f>
        <v>4.1133789950960363E-2</v>
      </c>
      <c r="F184" s="399">
        <f t="shared" ref="F184:F186" si="34">SUM(D184:E184)/SUM(C184:E184)</f>
        <v>0.16663872052169812</v>
      </c>
    </row>
    <row r="185" spans="1:6" ht="30">
      <c r="A185" s="609"/>
      <c r="B185" s="612" t="s">
        <v>203</v>
      </c>
      <c r="C185" s="487">
        <f>C148*1000000/[2]Popn!$D$43</f>
        <v>0.16355837880965959</v>
      </c>
      <c r="D185" s="487">
        <f>D148*1000000/[2]Popn!$D$43</f>
        <v>1.8931451875029794E-3</v>
      </c>
      <c r="E185" s="487">
        <f>E148*1000000/[2]Popn!$D$43</f>
        <v>1.2461979920086012E-2</v>
      </c>
      <c r="F185" s="399">
        <f t="shared" si="34"/>
        <v>8.0685978250790172E-2</v>
      </c>
    </row>
    <row r="186" spans="1:6">
      <c r="A186" s="609"/>
      <c r="B186" s="609" t="s">
        <v>46</v>
      </c>
      <c r="C186" s="487">
        <f>C149*1000000/[2]Popn!$D$43</f>
        <v>0.5342721968885531</v>
      </c>
      <c r="D186" s="487">
        <f>D149*1000000/[2]Popn!$D$43</f>
        <v>0</v>
      </c>
      <c r="E186" s="487">
        <f>E149*1000000/[2]Popn!$D$43</f>
        <v>6.3496820544434382E-3</v>
      </c>
      <c r="F186" s="399">
        <f t="shared" si="34"/>
        <v>1.1745144437842761E-2</v>
      </c>
    </row>
    <row r="187" spans="1:6">
      <c r="A187" s="609"/>
      <c r="B187" s="609"/>
      <c r="C187" s="397"/>
      <c r="D187" s="397"/>
      <c r="E187" s="397"/>
      <c r="F187" s="399"/>
    </row>
    <row r="188" spans="1:6">
      <c r="A188" s="609" t="s">
        <v>121</v>
      </c>
      <c r="B188" s="609" t="s">
        <v>44</v>
      </c>
      <c r="C188" s="487">
        <f>C151*1000000/[2]Popn!$E$43</f>
        <v>0.35963393625152479</v>
      </c>
      <c r="D188" s="487">
        <f>D151*1000000/[2]Popn!$E$43</f>
        <v>0.27380876324758974</v>
      </c>
      <c r="E188" s="487">
        <f>E151*1000000/[2]Popn!$E$43</f>
        <v>5.3322374575747934E-2</v>
      </c>
      <c r="F188" s="399">
        <f t="shared" ref="F188:F190" si="35">SUM(D188:E188)/SUM(C188:E188)</f>
        <v>0.47633630505164276</v>
      </c>
    </row>
    <row r="189" spans="1:6" ht="30">
      <c r="A189" s="609"/>
      <c r="B189" s="612" t="s">
        <v>204</v>
      </c>
      <c r="C189" s="487">
        <f>C152*1000000/[2]Popn!$E$43</f>
        <v>0.2467178272097911</v>
      </c>
      <c r="D189" s="487">
        <f>D152*1000000/[2]Popn!$E$43</f>
        <v>0.24130043545413482</v>
      </c>
      <c r="E189" s="487">
        <f>E152*1000000/[2]Popn!$E$43</f>
        <v>2.4756605622734521E-2</v>
      </c>
      <c r="F189" s="399">
        <f t="shared" si="35"/>
        <v>0.51885741195906943</v>
      </c>
    </row>
    <row r="190" spans="1:6">
      <c r="A190" s="609"/>
      <c r="B190" s="609" t="s">
        <v>46</v>
      </c>
      <c r="C190" s="487">
        <f>C153*1000000/[2]Popn!$E$43</f>
        <v>0.19710618628151566</v>
      </c>
      <c r="D190" s="487">
        <f>D153*1000000/[2]Popn!$E$43</f>
        <v>0.2871370643218375</v>
      </c>
      <c r="E190" s="487">
        <f>E153*1000000/[2]Popn!$E$43</f>
        <v>1.7444099768666288E-3</v>
      </c>
      <c r="F190" s="399">
        <f t="shared" si="35"/>
        <v>0.59442141793025993</v>
      </c>
    </row>
    <row r="191" spans="1:6">
      <c r="A191" s="609"/>
      <c r="B191" s="609"/>
      <c r="C191" s="487"/>
      <c r="D191" s="487"/>
      <c r="E191" s="487"/>
      <c r="F191" s="399"/>
    </row>
    <row r="192" spans="1:6">
      <c r="A192" s="609" t="s">
        <v>122</v>
      </c>
      <c r="B192" s="609" t="s">
        <v>44</v>
      </c>
      <c r="C192" s="487">
        <f>C155*1000000/[2]Popn!$F$43</f>
        <v>0.18776809000773811</v>
      </c>
      <c r="D192" s="487">
        <f>D155*1000000/[2]Popn!$F$43</f>
        <v>0.26789811280228848</v>
      </c>
      <c r="E192" s="487">
        <f>E155*1000000/[2]Popn!$F$43</f>
        <v>2.4502747371477972E-2</v>
      </c>
      <c r="F192" s="399">
        <f t="shared" ref="F192:F194" si="36">SUM(D192:E192)/SUM(C192:E192)</f>
        <v>0.60895411930163024</v>
      </c>
    </row>
    <row r="193" spans="1:6" ht="30">
      <c r="A193" s="609"/>
      <c r="B193" s="612" t="s">
        <v>205</v>
      </c>
      <c r="C193" s="487">
        <f>C156*1000000/[2]Popn!$F$43</f>
        <v>0.10026563094243138</v>
      </c>
      <c r="D193" s="487">
        <f>D156*1000000/[2]Popn!$F$43</f>
        <v>0.73063121673351406</v>
      </c>
      <c r="E193" s="487">
        <f>E156*1000000/[2]Popn!$F$43</f>
        <v>4.5407555520898785E-2</v>
      </c>
      <c r="F193" s="399">
        <f t="shared" si="36"/>
        <v>0.88558127680672094</v>
      </c>
    </row>
    <row r="194" spans="1:6">
      <c r="A194" s="609"/>
      <c r="B194" s="609" t="s">
        <v>46</v>
      </c>
      <c r="C194" s="487">
        <f>C157*1000000/[2]Popn!$F$43</f>
        <v>0.25190085602615009</v>
      </c>
      <c r="D194" s="487">
        <f>D157*1000000/[2]Popn!$F$43</f>
        <v>0.74280840367907242</v>
      </c>
      <c r="E194" s="487">
        <f>E157*1000000/[2]Popn!$F$43</f>
        <v>1.3403952812347887E-2</v>
      </c>
      <c r="F194" s="399">
        <f t="shared" si="36"/>
        <v>0.7501264214194</v>
      </c>
    </row>
    <row r="195" spans="1:6">
      <c r="A195" s="609"/>
      <c r="B195" s="609"/>
      <c r="C195" s="487"/>
      <c r="D195" s="487"/>
      <c r="E195" s="487"/>
      <c r="F195" s="399"/>
    </row>
    <row r="196" spans="1:6">
      <c r="A196" s="609" t="s">
        <v>123</v>
      </c>
      <c r="B196" s="609" t="s">
        <v>44</v>
      </c>
      <c r="C196" s="487">
        <f>C159*1000000/[2]Popn!$G$43</f>
        <v>0.30211507172650476</v>
      </c>
      <c r="D196" s="487">
        <f>D159*1000000/[2]Popn!$G$43</f>
        <v>0.16921440158736648</v>
      </c>
      <c r="E196" s="487">
        <f>E159*1000000/[2]Popn!$G$43</f>
        <v>3.384937419881507E-2</v>
      </c>
      <c r="F196" s="399">
        <f t="shared" ref="F196:F198" si="37">SUM(D196:E196)/SUM(C196:E196)</f>
        <v>0.40196412970573181</v>
      </c>
    </row>
    <row r="197" spans="1:6" ht="30">
      <c r="A197" s="609"/>
      <c r="B197" s="612" t="s">
        <v>206</v>
      </c>
      <c r="C197" s="487">
        <f>C160*1000000/[2]Popn!$G$43</f>
        <v>0.41820422790477818</v>
      </c>
      <c r="D197" s="487">
        <f>D160*1000000/[2]Popn!$G$43</f>
        <v>0.13825974502419197</v>
      </c>
      <c r="E197" s="487">
        <f>E160*1000000/[2]Popn!$G$43</f>
        <v>4.3089311259338403E-2</v>
      </c>
      <c r="F197" s="399">
        <f t="shared" si="37"/>
        <v>0.302473626725347</v>
      </c>
    </row>
    <row r="198" spans="1:6">
      <c r="A198" s="609"/>
      <c r="B198" s="609" t="s">
        <v>46</v>
      </c>
      <c r="C198" s="487">
        <f>C161*1000000/[2]Popn!$G$43</f>
        <v>7.4865180580458213E-2</v>
      </c>
      <c r="D198" s="487">
        <f>D161*1000000/[2]Popn!$G$43</f>
        <v>0</v>
      </c>
      <c r="E198" s="487">
        <f>E161*1000000/[2]Popn!$G$43</f>
        <v>1.1510252993601584E-3</v>
      </c>
      <c r="F198" s="399">
        <f t="shared" si="37"/>
        <v>1.5141840954018798E-2</v>
      </c>
    </row>
    <row r="199" spans="1:6">
      <c r="A199" s="609"/>
      <c r="B199" s="609"/>
      <c r="C199" s="487"/>
      <c r="D199" s="487"/>
      <c r="E199" s="487"/>
      <c r="F199" s="399"/>
    </row>
    <row r="200" spans="1:6">
      <c r="A200" s="609" t="s">
        <v>124</v>
      </c>
      <c r="B200" s="609" t="s">
        <v>44</v>
      </c>
      <c r="C200" s="487">
        <f>C163*1000000/[2]Popn!$H$43</f>
        <v>0.29888296141305365</v>
      </c>
      <c r="D200" s="487">
        <f>D163*1000000/[2]Popn!$H$43</f>
        <v>0.2801536575318343</v>
      </c>
      <c r="E200" s="487">
        <f>E163*1000000/[2]Popn!$H$43</f>
        <v>3.9776499130714911E-2</v>
      </c>
      <c r="F200" s="399">
        <f t="shared" ref="F200:F202" si="38">SUM(D200:E200)/SUM(C200:E200)</f>
        <v>0.51700609976962719</v>
      </c>
    </row>
    <row r="201" spans="1:6" ht="30">
      <c r="A201" s="609"/>
      <c r="B201" s="612" t="s">
        <v>207</v>
      </c>
      <c r="C201" s="487">
        <f>C164*1000000/[2]Popn!$H$43</f>
        <v>0.27708335224850222</v>
      </c>
      <c r="D201" s="487">
        <f>D164*1000000/[2]Popn!$H$43</f>
        <v>0.45090133381925551</v>
      </c>
      <c r="E201" s="487">
        <f>E164*1000000/[2]Popn!$H$43</f>
        <v>1.4588158213791051E-2</v>
      </c>
      <c r="F201" s="399">
        <f t="shared" si="38"/>
        <v>0.6268603755412242</v>
      </c>
    </row>
    <row r="202" spans="1:6">
      <c r="A202" s="609"/>
      <c r="B202" s="609" t="s">
        <v>46</v>
      </c>
      <c r="C202" s="487">
        <f>C165*1000000/[2]Popn!$H$43</f>
        <v>0.2513858286807536</v>
      </c>
      <c r="D202" s="487">
        <f>D165*1000000/[2]Popn!$H$43</f>
        <v>0.57001805610577483</v>
      </c>
      <c r="E202" s="487">
        <f>E165*1000000/[2]Popn!$H$43</f>
        <v>3.164519390495665E-4</v>
      </c>
      <c r="F202" s="399">
        <f t="shared" si="38"/>
        <v>0.69407374085143714</v>
      </c>
    </row>
    <row r="203" spans="1:6">
      <c r="A203" s="609"/>
      <c r="B203" s="609"/>
      <c r="C203" s="487"/>
      <c r="D203" s="487"/>
      <c r="E203" s="487"/>
      <c r="F203" s="399"/>
    </row>
    <row r="204" spans="1:6">
      <c r="A204" s="609" t="s">
        <v>125</v>
      </c>
      <c r="B204" s="609" t="s">
        <v>44</v>
      </c>
      <c r="C204" s="487">
        <f>C167*1000000/[2]Popn!$I$43</f>
        <v>0.41373678496580829</v>
      </c>
      <c r="D204" s="487">
        <f>D167*1000000/[2]Popn!$I$43</f>
        <v>0.2500896697934063</v>
      </c>
      <c r="E204" s="487">
        <f>E167*1000000/[2]Popn!$I$43</f>
        <v>3.1900470913139037E-2</v>
      </c>
      <c r="F204" s="399">
        <f t="shared" ref="F204:F206" si="39">SUM(D204:E204)/SUM(C204:E204)</f>
        <v>0.40531727363293979</v>
      </c>
    </row>
    <row r="205" spans="1:6" ht="30">
      <c r="A205" s="609"/>
      <c r="B205" s="612" t="s">
        <v>208</v>
      </c>
      <c r="C205" s="487">
        <f>C168*1000000/[2]Popn!$I$43</f>
        <v>0.43358384771103631</v>
      </c>
      <c r="D205" s="487">
        <f>D168*1000000/[2]Popn!$I$43</f>
        <v>0.1945141876170938</v>
      </c>
      <c r="E205" s="487">
        <f>E168*1000000/[2]Popn!$I$43</f>
        <v>3.2866862477308037E-2</v>
      </c>
      <c r="F205" s="399">
        <f t="shared" si="39"/>
        <v>0.34401380595151332</v>
      </c>
    </row>
    <row r="206" spans="1:6">
      <c r="A206" s="609"/>
      <c r="B206" s="609" t="s">
        <v>46</v>
      </c>
      <c r="C206" s="487">
        <f>C169*1000000/[2]Popn!$I$43</f>
        <v>0.7246246478839431</v>
      </c>
      <c r="D206" s="487">
        <f>D169*1000000/[2]Popn!$I$43</f>
        <v>0.47239159849865647</v>
      </c>
      <c r="E206" s="487">
        <f>E169*1000000/[2]Popn!$I$43</f>
        <v>3.3858805237836744E-3</v>
      </c>
      <c r="F206" s="399">
        <f t="shared" si="39"/>
        <v>0.39634841388409592</v>
      </c>
    </row>
    <row r="207" spans="1:6">
      <c r="A207" s="611"/>
      <c r="B207" s="611"/>
      <c r="C207" s="401"/>
      <c r="D207" s="401"/>
      <c r="E207" s="401"/>
      <c r="F207" s="622"/>
    </row>
    <row r="209" spans="5:5">
      <c r="E209" s="625"/>
    </row>
  </sheetData>
  <pageMargins left="0.7" right="0.7" top="0.75" bottom="0.75" header="0.3" footer="0.3"/>
  <pageSetup paperSize="9" orientation="portrait" r:id="rId1"/>
  <ignoredErrors>
    <ignoredError sqref="N96:Q96 Q56" formula="1"/>
  </ignoredErrors>
  <drawing r:id="rId2"/>
</worksheet>
</file>

<file path=xl/worksheets/sheet11.xml><?xml version="1.0" encoding="utf-8"?>
<worksheet xmlns="http://schemas.openxmlformats.org/spreadsheetml/2006/main" xmlns:r="http://schemas.openxmlformats.org/officeDocument/2006/relationships">
  <dimension ref="A1:BN146"/>
  <sheetViews>
    <sheetView zoomScale="80" zoomScaleNormal="80" workbookViewId="0">
      <pane ySplit="1" topLeftCell="A2" activePane="bottomLeft" state="frozen"/>
      <selection pane="bottomLeft" activeCell="A2" sqref="A2"/>
    </sheetView>
  </sheetViews>
  <sheetFormatPr defaultRowHeight="15"/>
  <cols>
    <col min="1" max="1" width="15.85546875" style="513" customWidth="1"/>
    <col min="2" max="2" width="12.7109375" style="513" bestFit="1" customWidth="1"/>
    <col min="3" max="3" width="13.85546875" style="513" bestFit="1" customWidth="1"/>
    <col min="4" max="4" width="12.7109375" style="513" bestFit="1" customWidth="1"/>
    <col min="5" max="5" width="13.85546875" style="513" bestFit="1" customWidth="1"/>
    <col min="6" max="6" width="13.28515625" style="513" bestFit="1" customWidth="1"/>
    <col min="7" max="7" width="12.7109375" style="513" bestFit="1" customWidth="1"/>
    <col min="8" max="9" width="13.85546875" style="513" bestFit="1" customWidth="1"/>
    <col min="10" max="10" width="21" style="513" customWidth="1"/>
    <col min="11" max="16384" width="9.140625" style="513"/>
  </cols>
  <sheetData>
    <row r="1" spans="1:66" s="1" customFormat="1" ht="21">
      <c r="A1" s="1" t="s">
        <v>186</v>
      </c>
      <c r="BN1" s="139"/>
    </row>
    <row r="2" spans="1:66" ht="15.75">
      <c r="A2" s="519" t="s">
        <v>173</v>
      </c>
    </row>
    <row r="3" spans="1:66" s="517" customFormat="1" ht="30">
      <c r="A3" s="517" t="s">
        <v>152</v>
      </c>
      <c r="B3" s="517" t="s">
        <v>172</v>
      </c>
      <c r="C3" s="517" t="s">
        <v>171</v>
      </c>
      <c r="D3" s="517" t="s">
        <v>170</v>
      </c>
    </row>
    <row r="4" spans="1:66">
      <c r="A4" s="513" t="s">
        <v>118</v>
      </c>
      <c r="B4" s="523">
        <f>[2]Economic!B36</f>
        <v>1920</v>
      </c>
      <c r="C4" s="524">
        <f>[2]Economic!C36</f>
        <v>2.6</v>
      </c>
      <c r="D4" s="608">
        <f t="shared" ref="D4:D11" si="0">B4/C4</f>
        <v>738.46153846153845</v>
      </c>
    </row>
    <row r="5" spans="1:66">
      <c r="A5" s="513" t="s">
        <v>119</v>
      </c>
      <c r="B5" s="523">
        <f>[2]Economic!B37</f>
        <v>1237</v>
      </c>
      <c r="C5" s="524">
        <f>[2]Economic!C37</f>
        <v>2.6</v>
      </c>
      <c r="D5" s="608">
        <f t="shared" si="0"/>
        <v>475.76923076923077</v>
      </c>
    </row>
    <row r="6" spans="1:66">
      <c r="A6" s="513" t="s">
        <v>120</v>
      </c>
      <c r="B6" s="523">
        <f>[2]Economic!B38</f>
        <v>1674</v>
      </c>
      <c r="C6" s="524">
        <f>[2]Economic!C38</f>
        <v>2.9</v>
      </c>
      <c r="D6" s="608">
        <f t="shared" si="0"/>
        <v>577.24137931034488</v>
      </c>
    </row>
    <row r="7" spans="1:66">
      <c r="A7" s="513" t="s">
        <v>121</v>
      </c>
      <c r="B7" s="523">
        <f>[2]Economic!B39</f>
        <v>1235</v>
      </c>
      <c r="C7" s="524">
        <f>[2]Economic!C39</f>
        <v>2.6</v>
      </c>
      <c r="D7" s="608">
        <f t="shared" si="0"/>
        <v>475</v>
      </c>
    </row>
    <row r="8" spans="1:66">
      <c r="A8" s="513" t="s">
        <v>122</v>
      </c>
      <c r="B8" s="523">
        <f>[2]Economic!B40</f>
        <v>1044</v>
      </c>
      <c r="C8" s="524">
        <f>[2]Economic!C40</f>
        <v>2.4</v>
      </c>
      <c r="D8" s="608">
        <f t="shared" si="0"/>
        <v>435</v>
      </c>
    </row>
    <row r="9" spans="1:66">
      <c r="A9" s="513" t="s">
        <v>123</v>
      </c>
      <c r="B9" s="523">
        <f>[2]Economic!B41</f>
        <v>948</v>
      </c>
      <c r="C9" s="524">
        <f>[2]Economic!C41</f>
        <v>2.4</v>
      </c>
      <c r="D9" s="608">
        <f t="shared" si="0"/>
        <v>395</v>
      </c>
    </row>
    <row r="10" spans="1:66">
      <c r="A10" s="513" t="s">
        <v>124</v>
      </c>
      <c r="B10" s="523">
        <f>[2]Economic!B42</f>
        <v>1216</v>
      </c>
      <c r="C10" s="524">
        <f>[2]Economic!C42</f>
        <v>2.6</v>
      </c>
      <c r="D10" s="608">
        <f t="shared" si="0"/>
        <v>467.69230769230768</v>
      </c>
    </row>
    <row r="11" spans="1:66">
      <c r="A11" s="513" t="s">
        <v>125</v>
      </c>
      <c r="B11" s="523">
        <f>[2]Economic!B43</f>
        <v>1415</v>
      </c>
      <c r="C11" s="524">
        <f>[2]Economic!C43</f>
        <v>2.6</v>
      </c>
      <c r="D11" s="608">
        <f t="shared" si="0"/>
        <v>544.23076923076917</v>
      </c>
    </row>
    <row r="20" spans="1:10" ht="15.75">
      <c r="A20" s="519" t="s">
        <v>169</v>
      </c>
    </row>
    <row r="21" spans="1:10">
      <c r="A21" s="532" t="s">
        <v>152</v>
      </c>
      <c r="B21" s="532" t="s">
        <v>270</v>
      </c>
      <c r="C21" s="532" t="s">
        <v>271</v>
      </c>
      <c r="D21" s="532" t="s">
        <v>272</v>
      </c>
      <c r="E21" s="532" t="s">
        <v>273</v>
      </c>
      <c r="F21" s="532" t="s">
        <v>274</v>
      </c>
      <c r="G21" s="532" t="s">
        <v>264</v>
      </c>
      <c r="H21" s="532" t="s">
        <v>275</v>
      </c>
      <c r="I21" s="532" t="s">
        <v>276</v>
      </c>
      <c r="J21" s="532" t="s">
        <v>265</v>
      </c>
    </row>
    <row r="22" spans="1:10">
      <c r="A22" s="532"/>
      <c r="B22" s="733" t="s">
        <v>277</v>
      </c>
      <c r="C22" s="733"/>
      <c r="D22" s="733"/>
      <c r="E22" s="733"/>
      <c r="F22" s="733"/>
      <c r="G22" s="733"/>
      <c r="H22" s="733"/>
      <c r="I22" s="733"/>
    </row>
    <row r="23" spans="1:10">
      <c r="A23" s="533" t="s">
        <v>168</v>
      </c>
      <c r="B23" s="525">
        <f>[2]Economic!$I20/1000</f>
        <v>25.527999999999999</v>
      </c>
      <c r="C23" s="525">
        <f>[2]Economic!$B20/1000</f>
        <v>392.50299999999999</v>
      </c>
      <c r="D23" s="525">
        <f>[2]Economic!$H20/1000</f>
        <v>14.263999999999999</v>
      </c>
      <c r="E23" s="525">
        <f>[2]Economic!$D20/1000</f>
        <v>235.39400000000001</v>
      </c>
      <c r="F23" s="525">
        <f>[2]Economic!$E20/1000</f>
        <v>78.656999999999996</v>
      </c>
      <c r="G23" s="525">
        <f>[2]Economic!$G20/1000</f>
        <v>22.327000000000002</v>
      </c>
      <c r="H23" s="525">
        <f>[2]Economic!$C20/1000</f>
        <v>277.69099999999997</v>
      </c>
      <c r="I23" s="525">
        <f>[2]Economic!$F20/1000</f>
        <v>177.637</v>
      </c>
      <c r="J23" s="526">
        <f t="shared" ref="J23:J29" si="1">SUM(B23:I23)</f>
        <v>1224.001</v>
      </c>
    </row>
    <row r="24" spans="1:10">
      <c r="A24" s="533" t="s">
        <v>83</v>
      </c>
      <c r="B24" s="525">
        <f>[2]Economic!$I21/1000</f>
        <v>26.645</v>
      </c>
      <c r="C24" s="525">
        <f>[2]Economic!$B21/1000</f>
        <v>400.74700000000001</v>
      </c>
      <c r="D24" s="525">
        <f>[2]Economic!$H21/1000</f>
        <v>15.079000000000001</v>
      </c>
      <c r="E24" s="525">
        <f>[2]Economic!$D21/1000</f>
        <v>248.82</v>
      </c>
      <c r="F24" s="525">
        <f>[2]Economic!$E21/1000</f>
        <v>80.198999999999998</v>
      </c>
      <c r="G24" s="525">
        <f>[2]Economic!$G21/1000</f>
        <v>22.937000000000001</v>
      </c>
      <c r="H24" s="525">
        <f>[2]Economic!$C21/1000</f>
        <v>288.274</v>
      </c>
      <c r="I24" s="525">
        <f>[2]Economic!$F21/1000</f>
        <v>188.70500000000001</v>
      </c>
      <c r="J24" s="526">
        <f t="shared" si="1"/>
        <v>1271.4059999999999</v>
      </c>
    </row>
    <row r="25" spans="1:10">
      <c r="A25" s="533" t="s">
        <v>133</v>
      </c>
      <c r="B25" s="525">
        <f>[2]Economic!$I22/1000</f>
        <v>27.483000000000001</v>
      </c>
      <c r="C25" s="525">
        <f>[2]Economic!$B22/1000</f>
        <v>412.24400000000003</v>
      </c>
      <c r="D25" s="525">
        <f>[2]Economic!$H22/1000</f>
        <v>16.135000000000002</v>
      </c>
      <c r="E25" s="525">
        <f>[2]Economic!$D22/1000</f>
        <v>260.79599999999999</v>
      </c>
      <c r="F25" s="525">
        <f>[2]Economic!$E22/1000</f>
        <v>84.855000000000004</v>
      </c>
      <c r="G25" s="525">
        <f>[2]Economic!$G22/1000</f>
        <v>23.591999999999999</v>
      </c>
      <c r="H25" s="525">
        <f>[2]Economic!$C22/1000</f>
        <v>298.32</v>
      </c>
      <c r="I25" s="525">
        <f>[2]Economic!$F22/1000</f>
        <v>195.97300000000001</v>
      </c>
      <c r="J25" s="526">
        <f t="shared" si="1"/>
        <v>1319.3979999999999</v>
      </c>
    </row>
    <row r="26" spans="1:10">
      <c r="A26" s="533" t="s">
        <v>82</v>
      </c>
      <c r="B26" s="525">
        <f>[2]Economic!$I23/1000</f>
        <v>28.617999999999999</v>
      </c>
      <c r="C26" s="525">
        <f>[2]Economic!$B23/1000</f>
        <v>416.29300000000001</v>
      </c>
      <c r="D26" s="525">
        <f>[2]Economic!$H23/1000</f>
        <v>16.917000000000002</v>
      </c>
      <c r="E26" s="525">
        <f>[2]Economic!$D23/1000</f>
        <v>263.46499999999997</v>
      </c>
      <c r="F26" s="525">
        <f>[2]Economic!$E23/1000</f>
        <v>86.45</v>
      </c>
      <c r="G26" s="525">
        <f>[2]Economic!$G23/1000</f>
        <v>24.154</v>
      </c>
      <c r="H26" s="525">
        <f>[2]Economic!$C23/1000</f>
        <v>301.548</v>
      </c>
      <c r="I26" s="525">
        <f>[2]Economic!$F23/1000</f>
        <v>204.35400000000001</v>
      </c>
      <c r="J26" s="526">
        <f t="shared" si="1"/>
        <v>1341.799</v>
      </c>
    </row>
    <row r="27" spans="1:10">
      <c r="A27" s="533" t="s">
        <v>81</v>
      </c>
      <c r="B27" s="525">
        <f>[2]Economic!$I24/1000</f>
        <v>29.509</v>
      </c>
      <c r="C27" s="525">
        <f>[2]Economic!$B24/1000</f>
        <v>424.54700000000003</v>
      </c>
      <c r="D27" s="525">
        <f>[2]Economic!$H24/1000</f>
        <v>17.117999999999999</v>
      </c>
      <c r="E27" s="525">
        <f>[2]Economic!$D24/1000</f>
        <v>267.221</v>
      </c>
      <c r="F27" s="525">
        <f>[2]Economic!$E24/1000</f>
        <v>87.346000000000004</v>
      </c>
      <c r="G27" s="525">
        <f>[2]Economic!$G24/1000</f>
        <v>24.167999999999999</v>
      </c>
      <c r="H27" s="525">
        <f>[2]Economic!$C24/1000</f>
        <v>307.19299999999998</v>
      </c>
      <c r="I27" s="525">
        <f>[2]Economic!$F24/1000</f>
        <v>213.15100000000001</v>
      </c>
      <c r="J27" s="526">
        <f t="shared" si="1"/>
        <v>1370.2529999999999</v>
      </c>
    </row>
    <row r="28" spans="1:10">
      <c r="A28" s="533" t="s">
        <v>64</v>
      </c>
      <c r="B28" s="525">
        <f>[2]Economic!$I25/1000</f>
        <v>30.454999999999998</v>
      </c>
      <c r="C28" s="525">
        <f>[2]Economic!$B25/1000</f>
        <v>435.54700000000003</v>
      </c>
      <c r="D28" s="525">
        <f>[2]Economic!$H25/1000</f>
        <v>17.321999999999999</v>
      </c>
      <c r="E28" s="525">
        <f>[2]Economic!$D25/1000</f>
        <v>269.88</v>
      </c>
      <c r="F28" s="525">
        <f>[2]Economic!$E25/1000</f>
        <v>89.322000000000003</v>
      </c>
      <c r="G28" s="525">
        <f>[2]Economic!$G25/1000</f>
        <v>24.218</v>
      </c>
      <c r="H28" s="525">
        <f>[2]Economic!$C25/1000</f>
        <v>315.57100000000003</v>
      </c>
      <c r="I28" s="525">
        <f>[2]Economic!$F25/1000</f>
        <v>221.57400000000001</v>
      </c>
      <c r="J28" s="526">
        <f t="shared" si="1"/>
        <v>1403.8890000000001</v>
      </c>
    </row>
    <row r="29" spans="1:10">
      <c r="A29" s="533" t="s">
        <v>167</v>
      </c>
      <c r="B29" s="525">
        <f>[2]Economic!$I26/1000</f>
        <v>31.510999999999999</v>
      </c>
      <c r="C29" s="525">
        <f>[2]Economic!$B26/1000</f>
        <v>446.16899999999998</v>
      </c>
      <c r="D29" s="525">
        <f>[2]Economic!$H26/1000</f>
        <v>18.085999999999999</v>
      </c>
      <c r="E29" s="525">
        <f>[2]Economic!$D26/1000</f>
        <v>280.62200000000001</v>
      </c>
      <c r="F29" s="525">
        <f>[2]Economic!$E26/1000</f>
        <v>91.216999999999999</v>
      </c>
      <c r="G29" s="525">
        <f>[2]Economic!$G26/1000</f>
        <v>24.344999999999999</v>
      </c>
      <c r="H29" s="525">
        <f>[2]Economic!$C26/1000</f>
        <v>322.83300000000003</v>
      </c>
      <c r="I29" s="525">
        <f>[2]Economic!$F26/1000</f>
        <v>236.33799999999999</v>
      </c>
      <c r="J29" s="526">
        <f t="shared" si="1"/>
        <v>1451.1210000000001</v>
      </c>
    </row>
    <row r="30" spans="1:10" ht="45">
      <c r="A30" s="521" t="s">
        <v>166</v>
      </c>
      <c r="B30" s="695">
        <f>(B28-B24)/B24</f>
        <v>0.14299118033402133</v>
      </c>
      <c r="C30" s="695">
        <f t="shared" ref="C30:J30" si="2">(C28-C24)/C24</f>
        <v>8.683783035181801E-2</v>
      </c>
      <c r="D30" s="695">
        <f t="shared" si="2"/>
        <v>0.14874991710325608</v>
      </c>
      <c r="E30" s="697">
        <f t="shared" si="2"/>
        <v>8.4639498432601892E-2</v>
      </c>
      <c r="F30" s="695">
        <f t="shared" si="2"/>
        <v>0.11375453559271319</v>
      </c>
      <c r="G30" s="695">
        <f t="shared" si="2"/>
        <v>5.5848628852944969E-2</v>
      </c>
      <c r="H30" s="697">
        <f t="shared" si="2"/>
        <v>9.4691161880710806E-2</v>
      </c>
      <c r="I30" s="695">
        <f t="shared" si="2"/>
        <v>0.17418192416735115</v>
      </c>
      <c r="J30" s="695">
        <f t="shared" si="2"/>
        <v>0.10420196223708256</v>
      </c>
    </row>
    <row r="31" spans="1:10">
      <c r="D31" s="694" t="s">
        <v>261</v>
      </c>
      <c r="E31" s="696">
        <f>(E28/E24)^(1/4)-1</f>
        <v>2.0519608892256791E-2</v>
      </c>
    </row>
    <row r="32" spans="1:10">
      <c r="B32" s="365"/>
      <c r="C32" s="365"/>
      <c r="D32" s="482" t="s">
        <v>269</v>
      </c>
      <c r="E32" s="695">
        <f>(E29-E26)/E26</f>
        <v>6.5120604254834763E-2</v>
      </c>
    </row>
    <row r="35" spans="1:10" ht="15.75">
      <c r="A35" s="519" t="s">
        <v>165</v>
      </c>
    </row>
    <row r="36" spans="1:10">
      <c r="B36" s="513" t="s">
        <v>118</v>
      </c>
      <c r="C36" s="513" t="s">
        <v>119</v>
      </c>
      <c r="D36" s="513" t="s">
        <v>120</v>
      </c>
      <c r="E36" s="513" t="s">
        <v>121</v>
      </c>
      <c r="F36" s="513" t="s">
        <v>122</v>
      </c>
      <c r="G36" s="513" t="s">
        <v>123</v>
      </c>
      <c r="H36" s="513" t="s">
        <v>124</v>
      </c>
      <c r="I36" s="513" t="s">
        <v>125</v>
      </c>
      <c r="J36" s="532" t="s">
        <v>155</v>
      </c>
    </row>
    <row r="37" spans="1:10" ht="45">
      <c r="A37" s="517" t="s">
        <v>164</v>
      </c>
      <c r="B37" s="527">
        <f>Australia!B20</f>
        <v>934.37196936494695</v>
      </c>
      <c r="C37" s="527">
        <f>Australia!B21</f>
        <v>17130.999660851186</v>
      </c>
      <c r="D37" s="527">
        <f>Australia!B22</f>
        <v>304.09977280842378</v>
      </c>
      <c r="E37" s="527">
        <f>Australia!B23</f>
        <v>7508.3015370000003</v>
      </c>
      <c r="F37" s="527">
        <f>Australia!B24</f>
        <v>3865.8448421839944</v>
      </c>
      <c r="G37" s="527">
        <f>Australia!B25</f>
        <v>602.42813338168469</v>
      </c>
      <c r="H37" s="527">
        <f>Australia!B26</f>
        <v>12028.475266250001</v>
      </c>
      <c r="I37" s="527">
        <f>Australia!B27</f>
        <v>5956.8404949816859</v>
      </c>
      <c r="J37" s="527">
        <f>Australia!B28</f>
        <v>48331.361676821914</v>
      </c>
    </row>
    <row r="38" spans="1:10" ht="45">
      <c r="A38" s="517" t="s">
        <v>163</v>
      </c>
      <c r="B38" s="528">
        <f>B37</f>
        <v>934.37196936494695</v>
      </c>
      <c r="C38" s="528">
        <f t="shared" ref="C38:J38" si="3">C37</f>
        <v>17130.999660851186</v>
      </c>
      <c r="D38" s="528">
        <f t="shared" si="3"/>
        <v>304.09977280842378</v>
      </c>
      <c r="E38" s="528">
        <f t="shared" si="3"/>
        <v>7508.3015370000003</v>
      </c>
      <c r="F38" s="528">
        <f t="shared" si="3"/>
        <v>3865.8448421839944</v>
      </c>
      <c r="G38" s="528">
        <f t="shared" si="3"/>
        <v>602.42813338168469</v>
      </c>
      <c r="H38" s="528">
        <f t="shared" si="3"/>
        <v>12028.475266250001</v>
      </c>
      <c r="I38" s="528">
        <f t="shared" si="3"/>
        <v>5956.8404949816859</v>
      </c>
      <c r="J38" s="528">
        <f t="shared" si="3"/>
        <v>48331.361676821914</v>
      </c>
    </row>
    <row r="39" spans="1:10" ht="45">
      <c r="A39" s="517" t="s">
        <v>162</v>
      </c>
      <c r="B39" s="529">
        <f>(B27*1000000)/B38</f>
        <v>31581.640896243942</v>
      </c>
      <c r="C39" s="529">
        <f t="shared" ref="C39:J39" si="4">(C27*1000000)/C38</f>
        <v>24782.383305406333</v>
      </c>
      <c r="D39" s="529">
        <f t="shared" si="4"/>
        <v>56290.735905231886</v>
      </c>
      <c r="E39" s="529">
        <f t="shared" si="4"/>
        <v>35590.073025592712</v>
      </c>
      <c r="F39" s="529">
        <f t="shared" si="4"/>
        <v>22594.284966350126</v>
      </c>
      <c r="G39" s="529">
        <f t="shared" si="4"/>
        <v>40117.648331486052</v>
      </c>
      <c r="H39" s="529">
        <f t="shared" si="4"/>
        <v>25538.814621162746</v>
      </c>
      <c r="I39" s="529">
        <f t="shared" si="4"/>
        <v>35782.559593389837</v>
      </c>
      <c r="J39" s="529">
        <f t="shared" si="4"/>
        <v>28351.218597201805</v>
      </c>
    </row>
    <row r="40" spans="1:10">
      <c r="B40" s="522"/>
      <c r="C40" s="522"/>
      <c r="D40" s="522"/>
      <c r="E40" s="522"/>
      <c r="F40" s="522"/>
      <c r="G40" s="522"/>
      <c r="H40" s="522"/>
      <c r="I40" s="522"/>
      <c r="J40" s="522"/>
    </row>
    <row r="43" spans="1:10" ht="15.75">
      <c r="A43" s="519" t="s">
        <v>161</v>
      </c>
    </row>
    <row r="44" spans="1:10">
      <c r="A44" s="513" t="s">
        <v>152</v>
      </c>
      <c r="B44" s="513" t="s">
        <v>266</v>
      </c>
      <c r="C44" s="513" t="s">
        <v>160</v>
      </c>
      <c r="D44" s="513" t="s">
        <v>159</v>
      </c>
      <c r="E44" s="513" t="s">
        <v>158</v>
      </c>
      <c r="F44" s="513" t="s">
        <v>157</v>
      </c>
      <c r="G44" s="513" t="s">
        <v>267</v>
      </c>
      <c r="H44" s="513" t="s">
        <v>156</v>
      </c>
      <c r="I44" s="513" t="s">
        <v>268</v>
      </c>
      <c r="J44" s="532" t="s">
        <v>155</v>
      </c>
    </row>
    <row r="45" spans="1:10">
      <c r="A45" s="513" t="str">
        <f>[2]Popn!A40</f>
        <v>2006/07</v>
      </c>
      <c r="B45" s="525">
        <f>[2]Popn!B40</f>
        <v>338485.25</v>
      </c>
      <c r="C45" s="525">
        <f>[2]Popn!C40</f>
        <v>6860141.5</v>
      </c>
      <c r="D45" s="525">
        <f>[2]Popn!D40</f>
        <v>213246.25</v>
      </c>
      <c r="E45" s="525">
        <f>[2]Popn!E40</f>
        <v>4143078.25</v>
      </c>
      <c r="F45" s="525">
        <f>[2]Popn!F40</f>
        <v>1577301.5</v>
      </c>
      <c r="G45" s="525">
        <f>[2]Popn!G40</f>
        <v>492369.75</v>
      </c>
      <c r="H45" s="525">
        <f>[2]Popn!H40</f>
        <v>5175222</v>
      </c>
      <c r="I45" s="525">
        <f>[2]Popn!I40</f>
        <v>2093310.75</v>
      </c>
      <c r="J45" s="525">
        <f>[2]Popn!J40</f>
        <v>20893155.25</v>
      </c>
    </row>
    <row r="46" spans="1:10">
      <c r="A46" s="513" t="s">
        <v>133</v>
      </c>
      <c r="B46" s="525"/>
      <c r="C46" s="525"/>
      <c r="D46" s="525"/>
      <c r="E46" s="525"/>
      <c r="F46" s="525"/>
      <c r="G46" s="525"/>
      <c r="H46" s="525"/>
      <c r="I46" s="525"/>
      <c r="J46" s="525"/>
    </row>
    <row r="47" spans="1:10">
      <c r="A47" s="513" t="str">
        <f>[2]Popn!A41</f>
        <v>2008/09</v>
      </c>
      <c r="B47" s="525">
        <f>[2]Popn!B41</f>
        <v>351198.25</v>
      </c>
      <c r="C47" s="525">
        <f>[2]Popn!C41</f>
        <v>7037192.25</v>
      </c>
      <c r="D47" s="525">
        <f>[2]Popn!D41</f>
        <v>224377</v>
      </c>
      <c r="E47" s="525">
        <f>[2]Popn!E41</f>
        <v>4331377.5</v>
      </c>
      <c r="F47" s="525">
        <f>[2]Popn!F41</f>
        <v>1607840.25</v>
      </c>
      <c r="G47" s="525">
        <f>[2]Popn!G41</f>
        <v>502244.75</v>
      </c>
      <c r="H47" s="525">
        <f>[2]Popn!H41</f>
        <v>5358128.75</v>
      </c>
      <c r="I47" s="525">
        <f>[2]Popn!I41</f>
        <v>2223868.25</v>
      </c>
      <c r="J47" s="525">
        <f>[2]Popn!J41</f>
        <v>21636227</v>
      </c>
    </row>
    <row r="48" spans="1:10">
      <c r="A48" s="513" t="str">
        <f>[2]Popn!A42</f>
        <v>2009/10</v>
      </c>
      <c r="B48" s="525">
        <f>[2]Popn!B42</f>
        <v>358090.5</v>
      </c>
      <c r="C48" s="525">
        <f>[2]Popn!C42</f>
        <v>7120073</v>
      </c>
      <c r="D48" s="525">
        <f>[2]Popn!D42</f>
        <v>228999.75</v>
      </c>
      <c r="E48" s="525">
        <f>[2]Popn!E42</f>
        <v>4403861.25</v>
      </c>
      <c r="F48" s="525">
        <f>[2]Popn!F42</f>
        <v>1624525</v>
      </c>
      <c r="G48" s="525">
        <f>[2]Popn!G42</f>
        <v>506836.5</v>
      </c>
      <c r="H48" s="525">
        <f>[2]Popn!H42</f>
        <v>5445271.75</v>
      </c>
      <c r="I48" s="525">
        <f>[2]Popn!I42</f>
        <v>2277396</v>
      </c>
      <c r="J48" s="525">
        <f>[2]Popn!J42</f>
        <v>21965053.75</v>
      </c>
    </row>
    <row r="49" spans="1:16">
      <c r="A49" s="513" t="str">
        <f>[2]Popn!A43</f>
        <v>2010/11</v>
      </c>
      <c r="B49" s="525">
        <f>[2]Popn!B43</f>
        <v>365013.75</v>
      </c>
      <c r="C49" s="525">
        <f>[2]Popn!C43</f>
        <v>7187313.75</v>
      </c>
      <c r="D49" s="525">
        <f>[2]Popn!D43</f>
        <v>230743</v>
      </c>
      <c r="E49" s="525">
        <f>[2]Popn!E43</f>
        <v>4454570.5</v>
      </c>
      <c r="F49" s="525">
        <f>[2]Popn!F43</f>
        <v>1634892.5</v>
      </c>
      <c r="G49" s="525">
        <f>[2]Popn!G43</f>
        <v>510208.75</v>
      </c>
      <c r="H49" s="525">
        <f>[2]Popn!H43</f>
        <v>5509798.25</v>
      </c>
      <c r="I49" s="525">
        <f>[2]Popn!I43</f>
        <v>2329535.25</v>
      </c>
      <c r="J49" s="525">
        <f>[2]Popn!J43</f>
        <v>22222075.75</v>
      </c>
    </row>
    <row r="50" spans="1:16" ht="60">
      <c r="A50" s="521" t="s">
        <v>154</v>
      </c>
      <c r="B50" s="695">
        <f>(B49-B45)/B45</f>
        <v>7.8374168446040116E-2</v>
      </c>
      <c r="C50" s="695">
        <f t="shared" ref="C50:J50" si="5">(C49-C45)/C45</f>
        <v>4.7691764083874946E-2</v>
      </c>
      <c r="D50" s="695">
        <f t="shared" si="5"/>
        <v>8.2049508490770653E-2</v>
      </c>
      <c r="E50" s="697">
        <f t="shared" si="5"/>
        <v>7.5183771873002875E-2</v>
      </c>
      <c r="F50" s="695">
        <f t="shared" si="5"/>
        <v>3.6512359875394779E-2</v>
      </c>
      <c r="G50" s="695">
        <f t="shared" si="5"/>
        <v>3.6230901675011515E-2</v>
      </c>
      <c r="H50" s="697">
        <f t="shared" si="5"/>
        <v>6.4649642082986972E-2</v>
      </c>
      <c r="I50" s="695">
        <f t="shared" si="5"/>
        <v>0.11284731614739953</v>
      </c>
      <c r="J50" s="695">
        <f t="shared" si="5"/>
        <v>6.3605543734233244E-2</v>
      </c>
    </row>
    <row r="51" spans="1:16">
      <c r="A51" s="521"/>
      <c r="B51" s="520"/>
      <c r="C51" s="520"/>
      <c r="D51" s="694" t="s">
        <v>261</v>
      </c>
      <c r="E51" s="696">
        <f>(E49/E45)^(1/4)-1</f>
        <v>1.8288115685270112E-2</v>
      </c>
      <c r="F51" s="520"/>
      <c r="G51" s="520"/>
      <c r="H51" s="520"/>
      <c r="I51" s="694" t="s">
        <v>261</v>
      </c>
      <c r="J51" s="696">
        <f>(J49/J45)^(1/4)-1</f>
        <v>1.5535589952397233E-2</v>
      </c>
    </row>
    <row r="52" spans="1:16">
      <c r="A52" s="521"/>
      <c r="B52" s="520"/>
      <c r="C52" s="520"/>
      <c r="D52" s="520"/>
      <c r="E52" s="520"/>
      <c r="F52" s="520"/>
      <c r="G52" s="520"/>
      <c r="H52" s="520"/>
      <c r="I52" s="520"/>
      <c r="J52" s="520"/>
    </row>
    <row r="53" spans="1:16" ht="15.75">
      <c r="A53" s="519" t="s">
        <v>153</v>
      </c>
    </row>
    <row r="54" spans="1:16" ht="120">
      <c r="A54" s="513" t="s">
        <v>152</v>
      </c>
      <c r="B54" s="517" t="str">
        <f>[2]Popn!$E$63</f>
        <v>Percentage of the population in metro or inner regional areas</v>
      </c>
      <c r="C54" s="517" t="s">
        <v>170</v>
      </c>
      <c r="D54" s="517" t="s">
        <v>199</v>
      </c>
      <c r="E54" s="620" t="s">
        <v>209</v>
      </c>
      <c r="H54" s="621" t="s">
        <v>235</v>
      </c>
    </row>
    <row r="55" spans="1:16">
      <c r="A55" s="531" t="s">
        <v>118</v>
      </c>
      <c r="B55" s="530">
        <f>[2]Popn!$E$110</f>
        <v>0.99794561517238356</v>
      </c>
      <c r="C55" s="596">
        <f t="shared" ref="C55:C62" si="6">D4</f>
        <v>738.46153846153845</v>
      </c>
      <c r="D55" s="597">
        <f>C55*B55</f>
        <v>736.94445428114477</v>
      </c>
      <c r="E55" s="615">
        <f>Australia!F7</f>
        <v>2.5598267719091323</v>
      </c>
      <c r="H55" s="621" t="s">
        <v>236</v>
      </c>
    </row>
    <row r="56" spans="1:16">
      <c r="A56" s="513" t="s">
        <v>119</v>
      </c>
      <c r="B56" s="530">
        <f>[2]Popn!$E$65</f>
        <v>0.72342418508773165</v>
      </c>
      <c r="C56" s="598">
        <f t="shared" si="6"/>
        <v>475.76923076923077</v>
      </c>
      <c r="D56" s="599">
        <f t="shared" ref="D56:D62" si="7">C56*B56</f>
        <v>344.18296805904771</v>
      </c>
      <c r="E56" s="615">
        <f>Australia!F8</f>
        <v>3.0103376530740458</v>
      </c>
      <c r="H56" t="s">
        <v>210</v>
      </c>
      <c r="I56"/>
      <c r="J56"/>
      <c r="K56"/>
      <c r="L56"/>
      <c r="M56"/>
      <c r="N56"/>
      <c r="O56"/>
      <c r="P56"/>
    </row>
    <row r="57" spans="1:16" ht="15.75" thickBot="1">
      <c r="A57" s="513" t="s">
        <v>120</v>
      </c>
      <c r="B57" s="530">
        <f>[2]Popn!$E$105</f>
        <v>0.54454208972128959</v>
      </c>
      <c r="C57" s="598">
        <f t="shared" si="6"/>
        <v>577.24137931034488</v>
      </c>
      <c r="D57" s="599">
        <f t="shared" si="7"/>
        <v>314.33222696325475</v>
      </c>
      <c r="E57" s="615">
        <f>Australia!F9</f>
        <v>1.3179154852299906</v>
      </c>
      <c r="H57"/>
      <c r="I57"/>
      <c r="J57"/>
      <c r="K57"/>
      <c r="L57"/>
      <c r="M57"/>
      <c r="N57"/>
      <c r="O57"/>
      <c r="P57"/>
    </row>
    <row r="58" spans="1:16">
      <c r="A58" s="513" t="s">
        <v>121</v>
      </c>
      <c r="B58" s="530">
        <f>[2]Popn!$E$78</f>
        <v>0.58971034564857128</v>
      </c>
      <c r="C58" s="598">
        <f t="shared" si="6"/>
        <v>475</v>
      </c>
      <c r="D58" s="599">
        <f t="shared" si="7"/>
        <v>280.11241418307134</v>
      </c>
      <c r="E58" s="615">
        <f>Australia!F10</f>
        <v>2.9686912659705351</v>
      </c>
      <c r="H58" s="619" t="s">
        <v>211</v>
      </c>
      <c r="I58" s="619"/>
      <c r="J58"/>
      <c r="K58"/>
      <c r="L58"/>
      <c r="M58"/>
      <c r="N58"/>
      <c r="O58"/>
      <c r="P58"/>
    </row>
    <row r="59" spans="1:16">
      <c r="A59" s="513" t="s">
        <v>122</v>
      </c>
      <c r="B59" s="530">
        <f>[2]Popn!$E$85</f>
        <v>0.72752042695511365</v>
      </c>
      <c r="C59" s="598">
        <f t="shared" si="6"/>
        <v>435</v>
      </c>
      <c r="D59" s="599">
        <f t="shared" si="7"/>
        <v>316.47138572547442</v>
      </c>
      <c r="E59" s="615">
        <f>Australia!F11</f>
        <v>2.4869187681660989</v>
      </c>
      <c r="H59" s="616" t="s">
        <v>212</v>
      </c>
      <c r="I59" s="616">
        <v>0.36617660778375194</v>
      </c>
      <c r="J59"/>
      <c r="K59"/>
      <c r="L59"/>
      <c r="M59"/>
      <c r="N59"/>
      <c r="O59"/>
      <c r="P59"/>
    </row>
    <row r="60" spans="1:16">
      <c r="A60" s="513" t="s">
        <v>123</v>
      </c>
      <c r="B60" s="530">
        <f>[2]Popn!$E$99</f>
        <v>0.64606661791667996</v>
      </c>
      <c r="C60" s="598">
        <f t="shared" si="6"/>
        <v>395</v>
      </c>
      <c r="D60" s="599">
        <f t="shared" si="7"/>
        <v>255.19631407708857</v>
      </c>
      <c r="E60" s="615">
        <f>Australia!F12</f>
        <v>1.1807483375808132</v>
      </c>
      <c r="H60" s="616" t="s">
        <v>213</v>
      </c>
      <c r="I60" s="616">
        <v>0.13408530808801569</v>
      </c>
      <c r="J60"/>
      <c r="K60"/>
      <c r="L60"/>
      <c r="M60"/>
      <c r="N60"/>
      <c r="O60"/>
      <c r="P60"/>
    </row>
    <row r="61" spans="1:16">
      <c r="A61" s="513" t="s">
        <v>124</v>
      </c>
      <c r="B61" s="530">
        <f>[2]Popn!$E$72</f>
        <v>0.74124268480658417</v>
      </c>
      <c r="C61" s="598">
        <f t="shared" si="6"/>
        <v>467.69230769230768</v>
      </c>
      <c r="D61" s="599">
        <f t="shared" si="7"/>
        <v>346.67350181723322</v>
      </c>
      <c r="E61" s="615">
        <f>Australia!F13</f>
        <v>2.6374489421769427</v>
      </c>
      <c r="H61" s="616" t="s">
        <v>214</v>
      </c>
      <c r="I61" s="616">
        <v>-1.0233807230648354E-2</v>
      </c>
      <c r="J61"/>
      <c r="K61"/>
      <c r="L61"/>
      <c r="M61"/>
      <c r="N61"/>
      <c r="O61"/>
      <c r="P61"/>
    </row>
    <row r="62" spans="1:16">
      <c r="A62" s="513" t="s">
        <v>125</v>
      </c>
      <c r="B62" s="530">
        <f>[2]Popn!$E$92</f>
        <v>0.71286830822671854</v>
      </c>
      <c r="C62" s="600">
        <f t="shared" si="6"/>
        <v>544.23076923076917</v>
      </c>
      <c r="D62" s="601">
        <f t="shared" si="7"/>
        <v>387.96486774646411</v>
      </c>
      <c r="E62" s="615">
        <f>Australia!F14</f>
        <v>2.8431641675867265</v>
      </c>
      <c r="H62" s="616" t="s">
        <v>215</v>
      </c>
      <c r="I62" s="616">
        <v>0.72237659104288776</v>
      </c>
      <c r="J62"/>
      <c r="K62"/>
      <c r="L62"/>
      <c r="M62"/>
      <c r="N62"/>
      <c r="O62"/>
      <c r="P62"/>
    </row>
    <row r="63" spans="1:16" ht="15.75" thickBot="1">
      <c r="H63" s="617" t="s">
        <v>216</v>
      </c>
      <c r="I63" s="617">
        <v>8</v>
      </c>
      <c r="J63"/>
      <c r="K63"/>
      <c r="L63"/>
      <c r="M63"/>
      <c r="N63"/>
      <c r="O63"/>
      <c r="P63"/>
    </row>
    <row r="64" spans="1:16">
      <c r="H64"/>
      <c r="I64"/>
      <c r="J64"/>
      <c r="K64"/>
      <c r="L64"/>
      <c r="M64"/>
      <c r="N64"/>
      <c r="O64"/>
      <c r="P64"/>
    </row>
    <row r="65" spans="1:26" ht="15.75" thickBot="1">
      <c r="H65" t="s">
        <v>217</v>
      </c>
      <c r="I65"/>
      <c r="J65"/>
      <c r="K65"/>
      <c r="L65"/>
      <c r="M65"/>
      <c r="N65"/>
      <c r="O65"/>
      <c r="P65"/>
    </row>
    <row r="66" spans="1:26">
      <c r="H66" s="618"/>
      <c r="I66" s="618" t="s">
        <v>221</v>
      </c>
      <c r="J66" s="618" t="s">
        <v>222</v>
      </c>
      <c r="K66" s="618" t="s">
        <v>223</v>
      </c>
      <c r="L66" s="618" t="s">
        <v>224</v>
      </c>
      <c r="M66" s="618" t="s">
        <v>225</v>
      </c>
      <c r="N66"/>
      <c r="O66"/>
      <c r="P66"/>
    </row>
    <row r="67" spans="1:26">
      <c r="H67" s="616" t="s">
        <v>218</v>
      </c>
      <c r="I67" s="616">
        <v>1</v>
      </c>
      <c r="J67" s="616">
        <v>0.48482461837228685</v>
      </c>
      <c r="K67" s="616">
        <v>0.48482461837228685</v>
      </c>
      <c r="L67" s="616">
        <v>0.92908903849603308</v>
      </c>
      <c r="M67" s="616">
        <v>0.372323698952153</v>
      </c>
      <c r="N67"/>
      <c r="O67"/>
      <c r="P67"/>
    </row>
    <row r="68" spans="1:26">
      <c r="H68" s="616" t="s">
        <v>219</v>
      </c>
      <c r="I68" s="616">
        <v>6</v>
      </c>
      <c r="J68" s="616">
        <v>3.1309676357204612</v>
      </c>
      <c r="K68" s="616">
        <v>0.52182793928674354</v>
      </c>
      <c r="L68" s="616"/>
      <c r="M68" s="616"/>
      <c r="N68"/>
      <c r="O68"/>
      <c r="P68"/>
    </row>
    <row r="69" spans="1:26" ht="15.75" thickBot="1">
      <c r="H69" s="617" t="s">
        <v>40</v>
      </c>
      <c r="I69" s="617">
        <v>7</v>
      </c>
      <c r="J69" s="617">
        <v>3.6157922540927481</v>
      </c>
      <c r="K69" s="617"/>
      <c r="L69" s="617"/>
      <c r="M69" s="617"/>
      <c r="N69"/>
      <c r="O69"/>
      <c r="P69"/>
    </row>
    <row r="70" spans="1:26" ht="15.75" thickBot="1">
      <c r="H70"/>
      <c r="I70"/>
      <c r="J70"/>
      <c r="K70"/>
      <c r="L70"/>
      <c r="M70"/>
      <c r="N70"/>
      <c r="O70"/>
      <c r="P70"/>
    </row>
    <row r="71" spans="1:26">
      <c r="H71" s="618"/>
      <c r="I71" s="618" t="s">
        <v>226</v>
      </c>
      <c r="J71" s="618" t="s">
        <v>215</v>
      </c>
      <c r="K71" s="618" t="s">
        <v>227</v>
      </c>
      <c r="L71" s="618" t="s">
        <v>228</v>
      </c>
      <c r="M71" s="618" t="s">
        <v>229</v>
      </c>
      <c r="N71" s="618" t="s">
        <v>230</v>
      </c>
      <c r="O71" s="618" t="s">
        <v>231</v>
      </c>
      <c r="P71" s="618" t="s">
        <v>232</v>
      </c>
    </row>
    <row r="72" spans="1:26">
      <c r="H72" s="616" t="s">
        <v>220</v>
      </c>
      <c r="I72" s="616">
        <v>0.99874404691495755</v>
      </c>
      <c r="J72" s="616">
        <v>1.4443571023438664</v>
      </c>
      <c r="K72" s="616">
        <v>0.69147999846729091</v>
      </c>
      <c r="L72" s="616">
        <v>0.51511423508282528</v>
      </c>
      <c r="M72" s="616">
        <v>-2.5354704572894313</v>
      </c>
      <c r="N72" s="616">
        <v>4.5329585511193464</v>
      </c>
      <c r="O72" s="616">
        <v>-2.5354704572894313</v>
      </c>
      <c r="P72" s="616">
        <v>4.5329585511193464</v>
      </c>
    </row>
    <row r="73" spans="1:26" ht="15.75" thickBot="1">
      <c r="H73" s="617" t="s">
        <v>233</v>
      </c>
      <c r="I73" s="617">
        <v>1.9288263094119493</v>
      </c>
      <c r="J73" s="617">
        <v>2.0010800079496893</v>
      </c>
      <c r="K73" s="617">
        <v>0.96389264884427517</v>
      </c>
      <c r="L73" s="617">
        <v>0.372323698952153</v>
      </c>
      <c r="M73" s="617">
        <v>-2.967640067699751</v>
      </c>
      <c r="N73" s="617">
        <v>6.8252926865236496</v>
      </c>
      <c r="O73" s="617">
        <v>-2.967640067699751</v>
      </c>
      <c r="P73" s="617">
        <v>6.8252926865236496</v>
      </c>
    </row>
    <row r="74" spans="1:26">
      <c r="H74"/>
      <c r="I74"/>
      <c r="J74"/>
      <c r="K74"/>
      <c r="L74"/>
      <c r="M74"/>
      <c r="N74"/>
      <c r="O74"/>
      <c r="P74"/>
    </row>
    <row r="75" spans="1:26">
      <c r="H75"/>
      <c r="I75"/>
      <c r="J75"/>
      <c r="K75"/>
      <c r="L75"/>
      <c r="M75"/>
      <c r="N75"/>
      <c r="O75"/>
      <c r="P75"/>
    </row>
    <row r="76" spans="1:26">
      <c r="H76"/>
      <c r="I76"/>
      <c r="J76"/>
      <c r="K76"/>
      <c r="L76"/>
      <c r="M76"/>
      <c r="N76"/>
      <c r="O76"/>
      <c r="P76"/>
    </row>
    <row r="78" spans="1:26">
      <c r="H78" s="621" t="s">
        <v>237</v>
      </c>
    </row>
    <row r="79" spans="1:26">
      <c r="H79" t="s">
        <v>210</v>
      </c>
      <c r="I79"/>
      <c r="J79"/>
      <c r="K79"/>
      <c r="L79"/>
      <c r="M79"/>
      <c r="N79"/>
      <c r="O79"/>
      <c r="P79"/>
    </row>
    <row r="80" spans="1:26" s="517" customFormat="1" ht="75.75" thickBot="1">
      <c r="A80" s="518" t="s">
        <v>152</v>
      </c>
      <c r="B80" s="518" t="s">
        <v>151</v>
      </c>
      <c r="C80" s="518" t="s">
        <v>150</v>
      </c>
      <c r="D80" s="518" t="s">
        <v>149</v>
      </c>
      <c r="H80"/>
      <c r="I80"/>
      <c r="J80"/>
      <c r="K80"/>
      <c r="L80"/>
      <c r="M80"/>
      <c r="N80"/>
      <c r="O80"/>
      <c r="P80"/>
      <c r="R80" s="513"/>
      <c r="S80" s="513"/>
      <c r="T80" s="513"/>
      <c r="U80" s="513"/>
      <c r="V80" s="513"/>
      <c r="W80" s="513"/>
      <c r="X80" s="513"/>
      <c r="Y80" s="513"/>
      <c r="Z80" s="513"/>
    </row>
    <row r="81" spans="1:16">
      <c r="A81" s="516" t="s">
        <v>118</v>
      </c>
      <c r="B81" s="515">
        <f>'[2]AWT data'!$D$9</f>
        <v>0</v>
      </c>
      <c r="C81" s="514">
        <f>B81/Australia!B20</f>
        <v>0</v>
      </c>
      <c r="D81" s="514">
        <f>B81/Australia!C20</f>
        <v>0</v>
      </c>
      <c r="H81" s="619" t="s">
        <v>211</v>
      </c>
      <c r="I81" s="619"/>
      <c r="J81"/>
      <c r="K81"/>
      <c r="L81"/>
      <c r="M81"/>
      <c r="N81"/>
      <c r="O81"/>
      <c r="P81"/>
    </row>
    <row r="82" spans="1:16">
      <c r="A82" s="365" t="s">
        <v>119</v>
      </c>
      <c r="B82" s="515">
        <f>'[2]AWT data'!$D$17</f>
        <v>524</v>
      </c>
      <c r="C82" s="514">
        <f>B82/Australia!B21</f>
        <v>3.0587823849969307E-2</v>
      </c>
      <c r="D82" s="514">
        <f>B82/Australia!C21</f>
        <v>8.8275310644322189E-2</v>
      </c>
      <c r="H82" s="616" t="s">
        <v>212</v>
      </c>
      <c r="I82" s="616">
        <v>0.14885118151293558</v>
      </c>
      <c r="J82"/>
      <c r="K82"/>
      <c r="L82"/>
      <c r="M82"/>
      <c r="N82"/>
      <c r="O82"/>
      <c r="P82"/>
    </row>
    <row r="83" spans="1:16">
      <c r="A83" s="365" t="s">
        <v>120</v>
      </c>
      <c r="B83" s="515">
        <f>'[2]AWT data'!$D$18</f>
        <v>0</v>
      </c>
      <c r="C83" s="514">
        <f>B83/Australia!B22</f>
        <v>0</v>
      </c>
      <c r="D83" s="514">
        <f>B83/Australia!C22</f>
        <v>0</v>
      </c>
      <c r="H83" s="616" t="s">
        <v>213</v>
      </c>
      <c r="I83" s="616">
        <v>2.2156674237796898E-2</v>
      </c>
      <c r="J83"/>
      <c r="K83"/>
      <c r="L83"/>
      <c r="M83"/>
      <c r="N83"/>
      <c r="O83"/>
      <c r="P83"/>
    </row>
    <row r="84" spans="1:16">
      <c r="A84" s="365" t="s">
        <v>121</v>
      </c>
      <c r="B84" s="515">
        <f>'[2]AWT data'!$D$21</f>
        <v>313</v>
      </c>
      <c r="C84" s="514">
        <f>B84/Australia!B23</f>
        <v>4.1687190965569769E-2</v>
      </c>
      <c r="D84" s="514">
        <f>B84/Australia!C23</f>
        <v>8.7453128174363917E-2</v>
      </c>
      <c r="H84" s="616" t="s">
        <v>214</v>
      </c>
      <c r="I84" s="616">
        <v>-0.14081721338923694</v>
      </c>
      <c r="J84"/>
      <c r="K84"/>
      <c r="L84"/>
      <c r="M84"/>
      <c r="N84"/>
      <c r="O84"/>
      <c r="P84"/>
    </row>
    <row r="85" spans="1:16">
      <c r="A85" s="365" t="s">
        <v>122</v>
      </c>
      <c r="B85" s="515">
        <f>'[2]AWT data'!$D$22</f>
        <v>350</v>
      </c>
      <c r="C85" s="514">
        <f>B85/Australia!B24</f>
        <v>9.0536484077376689E-2</v>
      </c>
      <c r="D85" s="514">
        <f>B85/Australia!C24</f>
        <v>0.39649498865527161</v>
      </c>
      <c r="H85" s="616" t="s">
        <v>215</v>
      </c>
      <c r="I85" s="616">
        <v>0.7676455695835227</v>
      </c>
      <c r="J85"/>
      <c r="K85"/>
      <c r="L85"/>
      <c r="M85"/>
      <c r="N85"/>
      <c r="O85"/>
      <c r="P85"/>
    </row>
    <row r="86" spans="1:16" ht="15.75" thickBot="1">
      <c r="A86" s="365" t="s">
        <v>123</v>
      </c>
      <c r="B86" s="515">
        <f>'[2]AWT data'!$D$23</f>
        <v>0</v>
      </c>
      <c r="C86" s="514">
        <f>B86/Australia!B25</f>
        <v>0</v>
      </c>
      <c r="D86" s="514">
        <f>B86/Australia!C25</f>
        <v>0</v>
      </c>
      <c r="H86" s="617" t="s">
        <v>216</v>
      </c>
      <c r="I86" s="617">
        <v>8</v>
      </c>
      <c r="J86"/>
      <c r="K86"/>
      <c r="L86"/>
      <c r="M86"/>
      <c r="N86"/>
      <c r="O86"/>
      <c r="P86"/>
    </row>
    <row r="87" spans="1:16">
      <c r="A87" s="365" t="s">
        <v>124</v>
      </c>
      <c r="B87" s="515">
        <f>'[2]AWT data'!$D$24</f>
        <v>30</v>
      </c>
      <c r="C87" s="514">
        <f>B87/Australia!B26</f>
        <v>2.4940816966365848E-3</v>
      </c>
      <c r="D87" s="514">
        <f>B87/Australia!C26</f>
        <v>6.5810495721198188E-3</v>
      </c>
      <c r="H87"/>
      <c r="I87"/>
      <c r="J87"/>
      <c r="K87"/>
      <c r="L87"/>
      <c r="M87"/>
      <c r="N87"/>
      <c r="O87"/>
      <c r="P87"/>
    </row>
    <row r="88" spans="1:16" ht="15.75" thickBot="1">
      <c r="A88" s="365" t="s">
        <v>125</v>
      </c>
      <c r="B88" s="515">
        <f>'[2]AWT data'!$D$28</f>
        <v>255</v>
      </c>
      <c r="C88" s="514">
        <f>B88/Australia!B27</f>
        <v>4.2807928165077384E-2</v>
      </c>
      <c r="D88" s="514">
        <f>B88/Australia!C27</f>
        <v>6.9635944388820412E-2</v>
      </c>
      <c r="H88" t="s">
        <v>217</v>
      </c>
      <c r="I88"/>
      <c r="J88"/>
      <c r="K88"/>
      <c r="L88"/>
      <c r="M88"/>
      <c r="N88"/>
      <c r="O88"/>
      <c r="P88"/>
    </row>
    <row r="89" spans="1:16">
      <c r="H89" s="618"/>
      <c r="I89" s="618" t="s">
        <v>221</v>
      </c>
      <c r="J89" s="618" t="s">
        <v>222</v>
      </c>
      <c r="K89" s="618" t="s">
        <v>223</v>
      </c>
      <c r="L89" s="618" t="s">
        <v>224</v>
      </c>
      <c r="M89" s="618" t="s">
        <v>225</v>
      </c>
      <c r="N89"/>
      <c r="O89"/>
      <c r="P89"/>
    </row>
    <row r="90" spans="1:16">
      <c r="H90" s="616" t="s">
        <v>218</v>
      </c>
      <c r="I90" s="616">
        <v>1</v>
      </c>
      <c r="J90" s="616">
        <v>8.0113931085482371E-2</v>
      </c>
      <c r="K90" s="616">
        <v>8.0113931085482371E-2</v>
      </c>
      <c r="L90" s="616">
        <v>0.13595229616478502</v>
      </c>
      <c r="M90" s="616">
        <v>0.7249991909497373</v>
      </c>
      <c r="N90"/>
      <c r="O90"/>
      <c r="P90"/>
    </row>
    <row r="91" spans="1:16">
      <c r="H91" s="616" t="s">
        <v>219</v>
      </c>
      <c r="I91" s="616">
        <v>6</v>
      </c>
      <c r="J91" s="616">
        <v>3.5356783230072657</v>
      </c>
      <c r="K91" s="616">
        <v>0.58927972050121091</v>
      </c>
      <c r="L91" s="616"/>
      <c r="M91" s="616"/>
      <c r="N91"/>
      <c r="O91"/>
      <c r="P91"/>
    </row>
    <row r="92" spans="1:16" ht="15.75" thickBot="1">
      <c r="H92" s="617" t="s">
        <v>40</v>
      </c>
      <c r="I92" s="617">
        <v>7</v>
      </c>
      <c r="J92" s="617">
        <v>3.6157922540927481</v>
      </c>
      <c r="K92" s="617"/>
      <c r="L92" s="617"/>
      <c r="M92" s="617"/>
      <c r="N92"/>
      <c r="O92"/>
      <c r="P92"/>
    </row>
    <row r="93" spans="1:16" ht="15.75" thickBot="1">
      <c r="H93"/>
      <c r="I93"/>
      <c r="J93"/>
      <c r="K93"/>
      <c r="L93"/>
      <c r="M93"/>
      <c r="N93"/>
      <c r="O93"/>
      <c r="P93"/>
    </row>
    <row r="94" spans="1:16">
      <c r="H94" s="618"/>
      <c r="I94" s="618" t="s">
        <v>226</v>
      </c>
      <c r="J94" s="618" t="s">
        <v>215</v>
      </c>
      <c r="K94" s="618" t="s">
        <v>227</v>
      </c>
      <c r="L94" s="618" t="s">
        <v>228</v>
      </c>
      <c r="M94" s="618" t="s">
        <v>229</v>
      </c>
      <c r="N94" s="618" t="s">
        <v>230</v>
      </c>
      <c r="O94" s="618" t="s">
        <v>231</v>
      </c>
      <c r="P94" s="618" t="s">
        <v>232</v>
      </c>
    </row>
    <row r="95" spans="1:16">
      <c r="H95" s="616" t="s">
        <v>220</v>
      </c>
      <c r="I95" s="616">
        <v>1.8577218155367949</v>
      </c>
      <c r="J95" s="616">
        <v>1.4129817614364695</v>
      </c>
      <c r="K95" s="616">
        <v>1.3147528625197487</v>
      </c>
      <c r="L95" s="616">
        <v>0.23660844299536155</v>
      </c>
      <c r="M95" s="616">
        <v>-1.5997199953154204</v>
      </c>
      <c r="N95" s="616">
        <v>5.3151636263890101</v>
      </c>
      <c r="O95" s="616">
        <v>-1.5997199953154204</v>
      </c>
      <c r="P95" s="616">
        <v>5.3151636263890101</v>
      </c>
    </row>
    <row r="96" spans="1:16" ht="15.75" thickBot="1">
      <c r="H96" s="617" t="s">
        <v>233</v>
      </c>
      <c r="I96" s="617">
        <v>9.9559932649174901E-4</v>
      </c>
      <c r="J96" s="617">
        <v>2.7001713235459794E-3</v>
      </c>
      <c r="K96" s="617">
        <v>0.36871709502650585</v>
      </c>
      <c r="L96" s="617">
        <v>0.72499919094973664</v>
      </c>
      <c r="M96" s="617">
        <v>-5.6114818724907227E-3</v>
      </c>
      <c r="N96" s="617">
        <v>7.6026805254742211E-3</v>
      </c>
      <c r="O96" s="617">
        <v>-5.6114818724907227E-3</v>
      </c>
      <c r="P96" s="617">
        <v>7.6026805254742211E-3</v>
      </c>
    </row>
    <row r="97" spans="8:16">
      <c r="H97"/>
      <c r="I97"/>
      <c r="J97"/>
      <c r="K97"/>
      <c r="L97"/>
      <c r="M97"/>
      <c r="N97"/>
      <c r="O97"/>
      <c r="P97"/>
    </row>
    <row r="98" spans="8:16">
      <c r="H98"/>
      <c r="I98"/>
      <c r="J98"/>
      <c r="K98"/>
      <c r="L98"/>
      <c r="M98"/>
      <c r="N98"/>
      <c r="O98"/>
      <c r="P98"/>
    </row>
    <row r="99" spans="8:16">
      <c r="H99"/>
      <c r="I99"/>
      <c r="J99"/>
      <c r="K99"/>
      <c r="L99"/>
      <c r="M99"/>
      <c r="N99"/>
      <c r="O99"/>
      <c r="P99"/>
    </row>
    <row r="101" spans="8:16">
      <c r="H101" s="621" t="s">
        <v>238</v>
      </c>
    </row>
    <row r="102" spans="8:16">
      <c r="H102" t="s">
        <v>210</v>
      </c>
      <c r="I102"/>
      <c r="J102"/>
      <c r="K102"/>
      <c r="L102"/>
      <c r="M102"/>
      <c r="N102"/>
      <c r="O102"/>
      <c r="P102"/>
    </row>
    <row r="103" spans="8:16" ht="15.75" thickBot="1">
      <c r="H103"/>
      <c r="I103"/>
      <c r="J103"/>
      <c r="K103"/>
      <c r="L103"/>
      <c r="M103"/>
      <c r="N103"/>
      <c r="O103"/>
      <c r="P103"/>
    </row>
    <row r="104" spans="8:16">
      <c r="H104" s="619" t="s">
        <v>211</v>
      </c>
      <c r="I104" s="619"/>
      <c r="J104"/>
      <c r="K104"/>
      <c r="L104"/>
      <c r="M104"/>
      <c r="N104"/>
      <c r="O104"/>
      <c r="P104"/>
    </row>
    <row r="105" spans="8:16">
      <c r="H105" s="616" t="s">
        <v>212</v>
      </c>
      <c r="I105" s="616">
        <v>0.37889521716269059</v>
      </c>
      <c r="J105"/>
      <c r="K105"/>
      <c r="L105"/>
      <c r="M105"/>
      <c r="N105"/>
      <c r="O105"/>
      <c r="P105"/>
    </row>
    <row r="106" spans="8:16">
      <c r="H106" s="616" t="s">
        <v>213</v>
      </c>
      <c r="I106" s="616">
        <v>0.14356158558876247</v>
      </c>
      <c r="J106"/>
      <c r="K106"/>
      <c r="L106"/>
      <c r="M106"/>
      <c r="N106"/>
      <c r="O106"/>
      <c r="P106"/>
    </row>
    <row r="107" spans="8:16">
      <c r="H107" s="616" t="s">
        <v>214</v>
      </c>
      <c r="I107" s="616">
        <v>-0.19901378017573251</v>
      </c>
      <c r="J107"/>
      <c r="K107"/>
      <c r="L107"/>
      <c r="M107"/>
      <c r="N107"/>
      <c r="O107"/>
      <c r="P107"/>
    </row>
    <row r="108" spans="8:16">
      <c r="H108" s="616" t="s">
        <v>215</v>
      </c>
      <c r="I108" s="616">
        <v>0.78698200550401753</v>
      </c>
      <c r="J108"/>
      <c r="K108"/>
      <c r="L108"/>
      <c r="M108"/>
      <c r="N108"/>
      <c r="O108"/>
      <c r="P108"/>
    </row>
    <row r="109" spans="8:16" ht="15.75" thickBot="1">
      <c r="H109" s="617" t="s">
        <v>216</v>
      </c>
      <c r="I109" s="617">
        <v>8</v>
      </c>
      <c r="J109"/>
      <c r="K109"/>
      <c r="L109"/>
      <c r="M109"/>
      <c r="N109"/>
      <c r="O109"/>
      <c r="P109"/>
    </row>
    <row r="110" spans="8:16">
      <c r="H110"/>
      <c r="I110"/>
      <c r="J110"/>
      <c r="K110"/>
      <c r="L110"/>
      <c r="M110"/>
      <c r="N110"/>
      <c r="O110"/>
      <c r="P110"/>
    </row>
    <row r="111" spans="8:16" ht="15.75" thickBot="1">
      <c r="H111" t="s">
        <v>217</v>
      </c>
      <c r="I111"/>
      <c r="J111"/>
      <c r="K111"/>
      <c r="L111"/>
      <c r="M111"/>
      <c r="N111"/>
      <c r="O111"/>
      <c r="P111"/>
    </row>
    <row r="112" spans="8:16">
      <c r="H112" s="618"/>
      <c r="I112" s="618" t="s">
        <v>221</v>
      </c>
      <c r="J112" s="618" t="s">
        <v>222</v>
      </c>
      <c r="K112" s="618" t="s">
        <v>223</v>
      </c>
      <c r="L112" s="618" t="s">
        <v>224</v>
      </c>
      <c r="M112" s="618" t="s">
        <v>225</v>
      </c>
      <c r="N112"/>
      <c r="O112"/>
      <c r="P112"/>
    </row>
    <row r="113" spans="8:16">
      <c r="H113" s="616" t="s">
        <v>218</v>
      </c>
      <c r="I113" s="616">
        <v>2</v>
      </c>
      <c r="J113" s="616">
        <v>0.51908886915712049</v>
      </c>
      <c r="K113" s="616">
        <v>0.25954443457856025</v>
      </c>
      <c r="L113" s="616">
        <v>0.4190657003850492</v>
      </c>
      <c r="M113" s="616">
        <v>0.67879767623903942</v>
      </c>
      <c r="N113"/>
      <c r="O113"/>
      <c r="P113"/>
    </row>
    <row r="114" spans="8:16">
      <c r="H114" s="616" t="s">
        <v>219</v>
      </c>
      <c r="I114" s="616">
        <v>5</v>
      </c>
      <c r="J114" s="616">
        <v>3.0967033849356276</v>
      </c>
      <c r="K114" s="616">
        <v>0.61934067698712547</v>
      </c>
      <c r="L114" s="616"/>
      <c r="M114" s="616"/>
      <c r="N114"/>
      <c r="O114"/>
      <c r="P114"/>
    </row>
    <row r="115" spans="8:16" ht="15.75" thickBot="1">
      <c r="H115" s="617" t="s">
        <v>40</v>
      </c>
      <c r="I115" s="617">
        <v>7</v>
      </c>
      <c r="J115" s="617">
        <v>3.6157922540927481</v>
      </c>
      <c r="K115" s="617"/>
      <c r="L115" s="617"/>
      <c r="M115" s="617"/>
      <c r="N115"/>
      <c r="O115"/>
      <c r="P115"/>
    </row>
    <row r="116" spans="8:16" ht="15.75" thickBot="1">
      <c r="H116"/>
      <c r="I116"/>
      <c r="J116"/>
      <c r="K116"/>
      <c r="L116"/>
      <c r="M116"/>
      <c r="N116"/>
      <c r="O116"/>
      <c r="P116"/>
    </row>
    <row r="117" spans="8:16">
      <c r="H117" s="618"/>
      <c r="I117" s="618" t="s">
        <v>226</v>
      </c>
      <c r="J117" s="618" t="s">
        <v>215</v>
      </c>
      <c r="K117" s="618" t="s">
        <v>227</v>
      </c>
      <c r="L117" s="618" t="s">
        <v>228</v>
      </c>
      <c r="M117" s="618" t="s">
        <v>229</v>
      </c>
      <c r="N117" s="618" t="s">
        <v>230</v>
      </c>
      <c r="O117" s="618" t="s">
        <v>231</v>
      </c>
      <c r="P117" s="618" t="s">
        <v>232</v>
      </c>
    </row>
    <row r="118" spans="8:16">
      <c r="H118" s="616" t="s">
        <v>220</v>
      </c>
      <c r="I118" s="616">
        <v>1.1383780914527395</v>
      </c>
      <c r="J118" s="616">
        <v>1.6817945880222753</v>
      </c>
      <c r="K118" s="616">
        <v>0.67688295560008171</v>
      </c>
      <c r="L118" s="616">
        <v>0.52852414080984311</v>
      </c>
      <c r="M118" s="616">
        <v>-3.1848125262099551</v>
      </c>
      <c r="N118" s="616">
        <v>5.4615687091154346</v>
      </c>
      <c r="O118" s="616">
        <v>-3.1848125262099551</v>
      </c>
      <c r="P118" s="616">
        <v>5.4615687091154346</v>
      </c>
    </row>
    <row r="119" spans="8:16">
      <c r="H119" s="616" t="s">
        <v>233</v>
      </c>
      <c r="I119" s="616">
        <v>2.3297299159094775</v>
      </c>
      <c r="J119" s="616">
        <v>2.7672635049473402</v>
      </c>
      <c r="K119" s="616">
        <v>0.84188943761386081</v>
      </c>
      <c r="L119" s="616">
        <v>0.43825099709022153</v>
      </c>
      <c r="M119" s="616">
        <v>-4.7837473817296017</v>
      </c>
      <c r="N119" s="616">
        <v>9.4432072135485576</v>
      </c>
      <c r="O119" s="616">
        <v>-4.7837473817296017</v>
      </c>
      <c r="P119" s="616">
        <v>9.4432072135485576</v>
      </c>
    </row>
    <row r="120" spans="8:16" ht="15.75" thickBot="1">
      <c r="H120" s="617" t="s">
        <v>234</v>
      </c>
      <c r="I120" s="617">
        <v>-8.2648717187605483E-4</v>
      </c>
      <c r="J120" s="617">
        <v>3.5138263832657246E-3</v>
      </c>
      <c r="K120" s="617">
        <v>-0.23521001942842826</v>
      </c>
      <c r="L120" s="617">
        <v>0.82337539557509287</v>
      </c>
      <c r="M120" s="617">
        <v>-9.8590654429798821E-3</v>
      </c>
      <c r="N120" s="617">
        <v>8.206091099227774E-3</v>
      </c>
      <c r="O120" s="617">
        <v>-9.8590654429798821E-3</v>
      </c>
      <c r="P120" s="617">
        <v>8.206091099227774E-3</v>
      </c>
    </row>
    <row r="121" spans="8:16">
      <c r="H121"/>
      <c r="I121"/>
      <c r="J121"/>
      <c r="K121"/>
      <c r="L121"/>
      <c r="M121"/>
      <c r="N121"/>
      <c r="O121"/>
      <c r="P121"/>
    </row>
    <row r="122" spans="8:16">
      <c r="H122"/>
      <c r="I122"/>
      <c r="J122"/>
      <c r="K122"/>
      <c r="L122"/>
      <c r="M122"/>
      <c r="N122"/>
      <c r="O122"/>
      <c r="P122"/>
    </row>
    <row r="123" spans="8:16">
      <c r="H123"/>
      <c r="I123"/>
      <c r="J123"/>
      <c r="K123"/>
      <c r="L123"/>
      <c r="M123"/>
      <c r="N123"/>
      <c r="O123"/>
      <c r="P123"/>
    </row>
    <row r="125" spans="8:16">
      <c r="H125" s="621" t="s">
        <v>239</v>
      </c>
    </row>
    <row r="126" spans="8:16">
      <c r="H126" t="s">
        <v>210</v>
      </c>
      <c r="I126"/>
      <c r="J126"/>
      <c r="K126"/>
      <c r="L126"/>
      <c r="M126"/>
      <c r="N126"/>
      <c r="O126"/>
      <c r="P126"/>
    </row>
    <row r="127" spans="8:16" ht="15.75" thickBot="1">
      <c r="H127"/>
      <c r="I127"/>
      <c r="J127"/>
      <c r="K127"/>
      <c r="L127"/>
      <c r="M127"/>
      <c r="N127"/>
      <c r="O127"/>
      <c r="P127"/>
    </row>
    <row r="128" spans="8:16">
      <c r="H128" s="619" t="s">
        <v>211</v>
      </c>
      <c r="I128" s="619"/>
      <c r="J128"/>
      <c r="K128"/>
      <c r="L128"/>
      <c r="M128"/>
      <c r="N128"/>
      <c r="O128"/>
      <c r="P128"/>
    </row>
    <row r="129" spans="8:16">
      <c r="H129" s="616" t="s">
        <v>212</v>
      </c>
      <c r="I129" s="616">
        <v>0.26297049451379539</v>
      </c>
      <c r="J129"/>
      <c r="K129"/>
      <c r="L129"/>
      <c r="M129"/>
      <c r="N129"/>
      <c r="O129"/>
      <c r="P129"/>
    </row>
    <row r="130" spans="8:16">
      <c r="H130" s="616" t="s">
        <v>213</v>
      </c>
      <c r="I130" s="616">
        <v>6.9153480984830082E-2</v>
      </c>
      <c r="J130"/>
      <c r="K130"/>
      <c r="L130"/>
      <c r="M130"/>
      <c r="N130"/>
      <c r="O130"/>
      <c r="P130"/>
    </row>
    <row r="131" spans="8:16">
      <c r="H131" s="616" t="s">
        <v>214</v>
      </c>
      <c r="I131" s="616">
        <v>-8.598760551769824E-2</v>
      </c>
      <c r="J131"/>
      <c r="K131"/>
      <c r="L131"/>
      <c r="M131"/>
      <c r="N131"/>
      <c r="O131"/>
      <c r="P131"/>
    </row>
    <row r="132" spans="8:16">
      <c r="H132" s="616" t="s">
        <v>215</v>
      </c>
      <c r="I132" s="616">
        <v>0.74897125369894868</v>
      </c>
      <c r="J132"/>
      <c r="K132"/>
      <c r="L132"/>
      <c r="M132"/>
      <c r="N132"/>
      <c r="O132"/>
      <c r="P132"/>
    </row>
    <row r="133" spans="8:16" ht="15.75" thickBot="1">
      <c r="H133" s="617" t="s">
        <v>216</v>
      </c>
      <c r="I133" s="617">
        <v>8</v>
      </c>
      <c r="J133"/>
      <c r="K133"/>
      <c r="L133"/>
      <c r="M133"/>
      <c r="N133"/>
      <c r="O133"/>
      <c r="P133"/>
    </row>
    <row r="134" spans="8:16">
      <c r="H134"/>
      <c r="I134"/>
      <c r="J134"/>
      <c r="K134"/>
      <c r="L134"/>
      <c r="M134"/>
      <c r="N134"/>
      <c r="O134"/>
      <c r="P134"/>
    </row>
    <row r="135" spans="8:16" ht="15.75" thickBot="1">
      <c r="H135" t="s">
        <v>217</v>
      </c>
      <c r="I135"/>
      <c r="J135"/>
      <c r="K135"/>
      <c r="L135"/>
      <c r="M135"/>
      <c r="N135"/>
      <c r="O135"/>
      <c r="P135"/>
    </row>
    <row r="136" spans="8:16">
      <c r="H136" s="618"/>
      <c r="I136" s="618" t="s">
        <v>221</v>
      </c>
      <c r="J136" s="618" t="s">
        <v>222</v>
      </c>
      <c r="K136" s="618" t="s">
        <v>223</v>
      </c>
      <c r="L136" s="618" t="s">
        <v>224</v>
      </c>
      <c r="M136" s="618" t="s">
        <v>225</v>
      </c>
      <c r="N136"/>
      <c r="O136"/>
      <c r="P136"/>
    </row>
    <row r="137" spans="8:16">
      <c r="H137" s="616" t="s">
        <v>218</v>
      </c>
      <c r="I137" s="616">
        <v>1</v>
      </c>
      <c r="J137" s="616">
        <v>0.25004462088849877</v>
      </c>
      <c r="K137" s="616">
        <v>0.25004462088849877</v>
      </c>
      <c r="L137" s="616">
        <v>0.44574575661298532</v>
      </c>
      <c r="M137" s="616">
        <v>0.52919038723876133</v>
      </c>
      <c r="N137"/>
      <c r="O137"/>
      <c r="P137"/>
    </row>
    <row r="138" spans="8:16">
      <c r="H138" s="616" t="s">
        <v>219</v>
      </c>
      <c r="I138" s="616">
        <v>6</v>
      </c>
      <c r="J138" s="616">
        <v>3.3657476332042493</v>
      </c>
      <c r="K138" s="616">
        <v>0.56095793886737488</v>
      </c>
      <c r="L138" s="616"/>
      <c r="M138" s="616"/>
      <c r="N138"/>
      <c r="O138"/>
      <c r="P138"/>
    </row>
    <row r="139" spans="8:16" ht="15.75" thickBot="1">
      <c r="H139" s="617" t="s">
        <v>40</v>
      </c>
      <c r="I139" s="617">
        <v>7</v>
      </c>
      <c r="J139" s="617">
        <v>3.6157922540927481</v>
      </c>
      <c r="K139" s="617"/>
      <c r="L139" s="617"/>
      <c r="M139" s="617"/>
      <c r="N139"/>
      <c r="O139"/>
      <c r="P139"/>
    </row>
    <row r="140" spans="8:16" ht="15.75" thickBot="1">
      <c r="H140"/>
      <c r="I140"/>
      <c r="J140"/>
      <c r="K140"/>
      <c r="L140"/>
      <c r="M140"/>
      <c r="N140"/>
      <c r="O140"/>
      <c r="P140"/>
    </row>
    <row r="141" spans="8:16">
      <c r="H141" s="618"/>
      <c r="I141" s="618" t="s">
        <v>226</v>
      </c>
      <c r="J141" s="618" t="s">
        <v>215</v>
      </c>
      <c r="K141" s="618" t="s">
        <v>227</v>
      </c>
      <c r="L141" s="618" t="s">
        <v>228</v>
      </c>
      <c r="M141" s="618" t="s">
        <v>229</v>
      </c>
      <c r="N141" s="618" t="s">
        <v>230</v>
      </c>
      <c r="O141" s="618" t="s">
        <v>231</v>
      </c>
      <c r="P141" s="618" t="s">
        <v>232</v>
      </c>
    </row>
    <row r="142" spans="8:16">
      <c r="H142" s="616" t="s">
        <v>220</v>
      </c>
      <c r="I142" s="616">
        <v>1.9078478247693758</v>
      </c>
      <c r="J142" s="616">
        <v>0.7397527433233454</v>
      </c>
      <c r="K142" s="616">
        <v>2.5790344706237294</v>
      </c>
      <c r="L142" s="616">
        <v>4.1823708848661774E-2</v>
      </c>
      <c r="M142" s="616">
        <v>9.7738073700406547E-2</v>
      </c>
      <c r="N142" s="616">
        <v>3.7179575758383452</v>
      </c>
      <c r="O142" s="616">
        <v>9.7738073700406547E-2</v>
      </c>
      <c r="P142" s="616">
        <v>3.7179575758383452</v>
      </c>
    </row>
    <row r="143" spans="8:16" ht="15.75" thickBot="1">
      <c r="H143" s="617" t="s">
        <v>233</v>
      </c>
      <c r="I143" s="617">
        <v>1.2372428654701052E-3</v>
      </c>
      <c r="J143" s="617">
        <v>1.8531533088468042E-3</v>
      </c>
      <c r="K143" s="617">
        <v>0.66764193742827849</v>
      </c>
      <c r="L143" s="617">
        <v>0.52919038723876133</v>
      </c>
      <c r="M143" s="617">
        <v>-3.2972599192030634E-3</v>
      </c>
      <c r="N143" s="617">
        <v>5.7717456501432743E-3</v>
      </c>
      <c r="O143" s="617">
        <v>-3.2972599192030634E-3</v>
      </c>
      <c r="P143" s="617">
        <v>5.7717456501432743E-3</v>
      </c>
    </row>
    <row r="144" spans="8:16">
      <c r="H144"/>
      <c r="I144"/>
      <c r="J144"/>
      <c r="K144"/>
      <c r="L144"/>
      <c r="M144"/>
      <c r="N144"/>
      <c r="O144"/>
      <c r="P144"/>
    </row>
    <row r="145" spans="8:16">
      <c r="H145"/>
      <c r="I145"/>
      <c r="J145"/>
      <c r="K145"/>
      <c r="L145"/>
      <c r="M145"/>
      <c r="N145"/>
      <c r="O145"/>
      <c r="P145"/>
    </row>
    <row r="146" spans="8:16">
      <c r="H146"/>
      <c r="I146"/>
      <c r="J146"/>
      <c r="K146"/>
      <c r="L146"/>
      <c r="M146"/>
      <c r="N146"/>
      <c r="O146"/>
      <c r="P146"/>
    </row>
  </sheetData>
  <mergeCells count="1">
    <mergeCell ref="B22:I22"/>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dimension ref="A1:CC194"/>
  <sheetViews>
    <sheetView zoomScale="70" zoomScaleNormal="70"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7.28515625" style="6" customWidth="1"/>
    <col min="3" max="3" width="34.85546875" style="6" customWidth="1"/>
    <col min="4" max="4" width="11.140625" style="6" hidden="1" customWidth="1"/>
    <col min="5" max="5" width="10.5703125" style="6" hidden="1" customWidth="1"/>
    <col min="6" max="6" width="10.28515625"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46.7109375" style="6" hidden="1" customWidth="1"/>
    <col min="14" max="17" width="9.7109375" style="6" customWidth="1"/>
    <col min="18" max="18" width="6.42578125" style="6" customWidth="1"/>
    <col min="19" max="19" width="2.7109375" style="6" customWidth="1"/>
    <col min="20" max="26" width="10" style="6" hidden="1" customWidth="1"/>
    <col min="27" max="27" width="13.5703125" style="6" hidden="1" customWidth="1"/>
    <col min="28" max="31" width="8" style="6" hidden="1" customWidth="1"/>
    <col min="32" max="32" width="38.85546875" style="6" hidden="1" customWidth="1"/>
    <col min="33" max="36" width="9.7109375" style="6" customWidth="1"/>
    <col min="37" max="37" width="6.4257812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4.28515625" style="6" hidden="1" customWidth="1"/>
    <col min="45" max="45" width="25.42578125" style="6" hidden="1" customWidth="1"/>
    <col min="46" max="46" width="18.28515625" style="6" hidden="1" customWidth="1"/>
    <col min="47" max="47" width="29.5703125" style="6" hidden="1" customWidth="1"/>
    <col min="48" max="48" width="14.42578125" style="6" hidden="1" customWidth="1"/>
    <col min="49" max="49" width="15.42578125" style="6" hidden="1" customWidth="1"/>
    <col min="50" max="50" width="32.5703125" style="6" hidden="1" customWidth="1"/>
    <col min="51" max="54" width="9.7109375" style="6" customWidth="1"/>
    <col min="55" max="55" width="7.2851562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16384" width="9.140625" style="6"/>
  </cols>
  <sheetData>
    <row r="1" spans="1:77" s="1" customFormat="1" ht="21">
      <c r="A1" s="1" t="s">
        <v>247</v>
      </c>
      <c r="F1" s="227"/>
      <c r="BG1" s="139"/>
    </row>
    <row r="2" spans="1:77" s="157" customFormat="1" ht="13.5" thickBot="1">
      <c r="BG2" s="193"/>
    </row>
    <row r="3" spans="1:77" s="160" customFormat="1" ht="19.5" customHeight="1">
      <c r="B3" s="161"/>
      <c r="C3" s="162"/>
      <c r="D3" s="165" t="s">
        <v>77</v>
      </c>
      <c r="E3" s="166"/>
      <c r="F3" s="228"/>
      <c r="G3" s="166"/>
      <c r="H3" s="166"/>
      <c r="I3" s="166"/>
      <c r="J3" s="166"/>
      <c r="K3" s="166"/>
      <c r="L3" s="166"/>
      <c r="M3" s="166"/>
      <c r="N3" s="165"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7" ht="13.5" customHeight="1">
      <c r="B4" s="158"/>
      <c r="C4" s="159"/>
      <c r="D4" s="181"/>
      <c r="E4" s="182"/>
      <c r="F4" s="235" t="s">
        <v>53</v>
      </c>
      <c r="G4" s="184"/>
      <c r="H4" s="235"/>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176"/>
      <c r="AG4" s="190"/>
      <c r="AH4" s="191" t="s">
        <v>39</v>
      </c>
      <c r="AI4" s="235"/>
      <c r="AJ4" s="235"/>
      <c r="AK4" s="236"/>
      <c r="AL4" s="7"/>
      <c r="AM4" s="181"/>
      <c r="AN4" s="182"/>
      <c r="AO4" s="235" t="s">
        <v>53</v>
      </c>
      <c r="AP4" s="184"/>
      <c r="AQ4" s="188"/>
      <c r="AR4" s="7"/>
      <c r="AS4" s="7"/>
      <c r="AT4" s="7"/>
      <c r="AU4" s="182" t="s">
        <v>41</v>
      </c>
      <c r="AV4" s="186"/>
      <c r="AW4" s="186"/>
      <c r="AX4" s="7"/>
      <c r="AY4" s="190"/>
      <c r="AZ4" s="191" t="s">
        <v>39</v>
      </c>
      <c r="BA4" s="235"/>
      <c r="BB4" s="235"/>
      <c r="BC4" s="236"/>
    </row>
    <row r="5" spans="1:77"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233" t="s">
        <v>63</v>
      </c>
      <c r="AR5" s="7"/>
      <c r="AS5" s="178" t="s">
        <v>49</v>
      </c>
      <c r="AT5" s="178"/>
      <c r="AU5" s="179"/>
      <c r="AV5" s="15"/>
      <c r="AW5" s="180"/>
      <c r="AX5" s="7"/>
      <c r="AY5" s="710" t="s">
        <v>60</v>
      </c>
      <c r="AZ5" s="711"/>
      <c r="BA5" s="711"/>
      <c r="BB5" s="712"/>
      <c r="BC5" s="718" t="s">
        <v>62</v>
      </c>
      <c r="BD5" s="8"/>
    </row>
    <row r="6" spans="1:77" ht="13.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0" t="s">
        <v>40</v>
      </c>
      <c r="R6" s="719"/>
      <c r="T6" s="9" t="s">
        <v>44</v>
      </c>
      <c r="U6" s="10" t="s">
        <v>45</v>
      </c>
      <c r="V6" s="10" t="s">
        <v>46</v>
      </c>
      <c r="W6" s="11" t="s">
        <v>40</v>
      </c>
      <c r="X6" s="14" t="s">
        <v>44</v>
      </c>
      <c r="Y6" s="10" t="s">
        <v>45</v>
      </c>
      <c r="Z6" s="10" t="s">
        <v>46</v>
      </c>
      <c r="AA6" s="11" t="s">
        <v>40</v>
      </c>
      <c r="AB6" s="9" t="s">
        <v>44</v>
      </c>
      <c r="AC6" s="10" t="s">
        <v>45</v>
      </c>
      <c r="AD6" s="10" t="s">
        <v>46</v>
      </c>
      <c r="AE6" s="10" t="s">
        <v>40</v>
      </c>
      <c r="AF6" s="234" t="s">
        <v>48</v>
      </c>
      <c r="AG6" s="9" t="s">
        <v>44</v>
      </c>
      <c r="AH6" s="10" t="s">
        <v>45</v>
      </c>
      <c r="AI6" s="10" t="s">
        <v>46</v>
      </c>
      <c r="AJ6" s="10" t="s">
        <v>40</v>
      </c>
      <c r="AK6" s="719"/>
      <c r="AL6" s="232"/>
      <c r="AM6" s="9" t="s">
        <v>44</v>
      </c>
      <c r="AN6" s="10" t="s">
        <v>45</v>
      </c>
      <c r="AO6" s="10" t="s">
        <v>46</v>
      </c>
      <c r="AP6" s="10" t="s">
        <v>40</v>
      </c>
      <c r="AQ6" s="234"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7" ht="18.75" customHeight="1">
      <c r="A7" s="699" t="s">
        <v>64</v>
      </c>
      <c r="B7" s="16" t="s">
        <v>3</v>
      </c>
      <c r="C7" s="17" t="s">
        <v>16</v>
      </c>
      <c r="D7" s="55"/>
      <c r="E7" s="56"/>
      <c r="F7" s="2"/>
      <c r="G7" s="63"/>
      <c r="H7" s="5"/>
      <c r="I7" s="151"/>
      <c r="J7" s="26"/>
      <c r="K7" s="26"/>
      <c r="L7" s="133"/>
      <c r="M7" s="56"/>
      <c r="N7" s="23"/>
      <c r="O7" s="19"/>
      <c r="P7" s="19"/>
      <c r="Q7" s="19"/>
      <c r="R7" s="24"/>
      <c r="T7" s="55"/>
      <c r="U7" s="56"/>
      <c r="V7" s="56"/>
      <c r="W7" s="199">
        <f>SUMIF([2]ACT!$T$62:$T$98,C7,[2]ACT!$S$62:$S$98)</f>
        <v>11977.372262773722</v>
      </c>
      <c r="X7" s="198"/>
      <c r="Y7" s="198"/>
      <c r="Z7" s="198"/>
      <c r="AA7" s="272"/>
      <c r="AB7" s="26"/>
      <c r="AC7" s="26"/>
      <c r="AD7" s="26"/>
      <c r="AE7" s="26"/>
      <c r="AF7" s="84"/>
      <c r="AG7" s="20"/>
      <c r="AH7" s="21"/>
      <c r="AI7" s="21"/>
      <c r="AJ7" s="22">
        <f>W7</f>
        <v>11977.372262773722</v>
      </c>
      <c r="AK7" s="27">
        <f>AJ7/[2]Popn!$B$43*1000</f>
        <v>32.813482403810056</v>
      </c>
      <c r="AL7" s="19"/>
      <c r="AM7" s="55"/>
      <c r="AN7" s="56"/>
      <c r="AO7" s="2"/>
      <c r="AP7" s="63"/>
      <c r="AQ7" s="67"/>
      <c r="AR7" s="26"/>
      <c r="AS7" s="21"/>
      <c r="AT7" s="21"/>
      <c r="AU7" s="25"/>
      <c r="AV7" s="21"/>
      <c r="AW7" s="22"/>
      <c r="AX7" s="56"/>
      <c r="AY7" s="23"/>
      <c r="AZ7" s="19"/>
      <c r="BA7" s="19"/>
      <c r="BB7" s="19"/>
      <c r="BC7" s="24"/>
      <c r="BD7" s="8"/>
      <c r="BH7" s="700" t="s">
        <v>70</v>
      </c>
      <c r="BI7" s="701"/>
      <c r="BJ7" s="701"/>
      <c r="BK7" s="701"/>
      <c r="BL7" s="702"/>
      <c r="BM7" s="700" t="s">
        <v>71</v>
      </c>
      <c r="BN7" s="702"/>
      <c r="BP7" s="8"/>
      <c r="BQ7" s="8"/>
      <c r="BR7" s="8"/>
      <c r="BS7" s="8"/>
      <c r="BT7" s="8"/>
      <c r="BU7" s="8"/>
    </row>
    <row r="8" spans="1:77">
      <c r="A8" s="699"/>
      <c r="B8" s="23"/>
      <c r="C8" s="17" t="s">
        <v>17</v>
      </c>
      <c r="D8" s="57"/>
      <c r="E8" s="2"/>
      <c r="F8" s="2"/>
      <c r="G8" s="63"/>
      <c r="H8" s="5"/>
      <c r="I8" s="20"/>
      <c r="J8" s="21"/>
      <c r="K8" s="21"/>
      <c r="L8" s="22"/>
      <c r="M8" s="2"/>
      <c r="N8" s="23"/>
      <c r="O8" s="19"/>
      <c r="P8" s="19"/>
      <c r="Q8" s="19"/>
      <c r="R8" s="24"/>
      <c r="T8" s="57"/>
      <c r="U8" s="2"/>
      <c r="V8" s="2"/>
      <c r="W8" s="199">
        <f>SUMIF([2]ACT!$T$62:$T$98,C8,[2]ACT!$S$62:$S$98)</f>
        <v>21865.614744525548</v>
      </c>
      <c r="X8" s="198"/>
      <c r="Y8" s="198"/>
      <c r="Z8" s="198"/>
      <c r="AA8" s="272"/>
      <c r="AB8" s="21"/>
      <c r="AC8" s="21"/>
      <c r="AD8" s="21"/>
      <c r="AE8" s="21"/>
      <c r="AF8" s="70"/>
      <c r="AG8" s="20"/>
      <c r="AH8" s="21"/>
      <c r="AI8" s="21"/>
      <c r="AJ8" s="22">
        <f t="shared" ref="AJ8:AJ49" si="0">W8</f>
        <v>21865.614744525548</v>
      </c>
      <c r="AK8" s="29">
        <f>AJ8/[2]Popn!$B$43*1000</f>
        <v>59.903537180518676</v>
      </c>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7">
      <c r="A9" s="699"/>
      <c r="B9" s="23"/>
      <c r="C9" s="17" t="s">
        <v>18</v>
      </c>
      <c r="D9" s="57"/>
      <c r="E9" s="2"/>
      <c r="F9" s="2"/>
      <c r="G9" s="63"/>
      <c r="H9" s="5"/>
      <c r="I9" s="20"/>
      <c r="J9" s="21"/>
      <c r="K9" s="21"/>
      <c r="L9" s="22"/>
      <c r="M9" s="2"/>
      <c r="N9" s="23"/>
      <c r="O9" s="19"/>
      <c r="P9" s="19"/>
      <c r="Q9" s="19"/>
      <c r="R9" s="24"/>
      <c r="T9" s="57"/>
      <c r="U9" s="2"/>
      <c r="V9" s="2"/>
      <c r="W9" s="199">
        <f>SUMIF([2]ACT!$T$62:$T$98,C9,[2]ACT!$S$62:$S$98)</f>
        <v>242260.55605839417</v>
      </c>
      <c r="X9" s="198"/>
      <c r="Y9" s="198"/>
      <c r="Z9" s="198"/>
      <c r="AA9" s="272"/>
      <c r="AB9" s="21"/>
      <c r="AC9" s="21"/>
      <c r="AD9" s="21"/>
      <c r="AE9" s="21"/>
      <c r="AF9" s="70"/>
      <c r="AG9" s="20"/>
      <c r="AH9" s="21"/>
      <c r="AI9" s="21"/>
      <c r="AJ9" s="22">
        <f t="shared" si="0"/>
        <v>242260.55605839417</v>
      </c>
      <c r="AK9" s="29">
        <f>AJ9/[2]Popn!$B$43*1000</f>
        <v>663.70254835165576</v>
      </c>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7">
      <c r="A10" s="699"/>
      <c r="B10" s="23"/>
      <c r="C10" s="17" t="s">
        <v>182</v>
      </c>
      <c r="D10" s="57"/>
      <c r="E10" s="2"/>
      <c r="F10" s="2"/>
      <c r="G10" s="63"/>
      <c r="H10" s="2"/>
      <c r="I10" s="20"/>
      <c r="J10" s="21"/>
      <c r="K10" s="21"/>
      <c r="L10" s="22"/>
      <c r="M10" s="2"/>
      <c r="N10" s="23"/>
      <c r="O10" s="19"/>
      <c r="P10" s="19"/>
      <c r="Q10" s="19"/>
      <c r="R10" s="24"/>
      <c r="T10" s="57"/>
      <c r="U10" s="2"/>
      <c r="V10" s="2"/>
      <c r="W10" s="199"/>
      <c r="X10" s="198"/>
      <c r="Y10" s="198"/>
      <c r="Z10" s="198"/>
      <c r="AA10" s="274"/>
      <c r="AB10" s="21"/>
      <c r="AC10" s="21"/>
      <c r="AD10" s="21"/>
      <c r="AE10" s="21"/>
      <c r="AF10" s="70"/>
      <c r="AG10" s="20"/>
      <c r="AH10" s="21"/>
      <c r="AI10" s="21"/>
      <c r="AJ10" s="22"/>
      <c r="AK10" s="29"/>
      <c r="AL10" s="19"/>
      <c r="AM10" s="57"/>
      <c r="AN10" s="2"/>
      <c r="AO10" s="2"/>
      <c r="AP10" s="63"/>
      <c r="AQ10" s="68"/>
      <c r="AR10" s="21"/>
      <c r="AS10" s="21"/>
      <c r="AT10" s="21"/>
      <c r="AU10" s="25"/>
      <c r="AV10" s="21"/>
      <c r="AW10" s="22"/>
      <c r="AX10" s="2"/>
      <c r="AY10" s="23"/>
      <c r="AZ10" s="19"/>
      <c r="BA10" s="19"/>
      <c r="BB10" s="19"/>
      <c r="BC10" s="24"/>
      <c r="BD10" s="30"/>
      <c r="BG10" s="145" t="s">
        <v>72</v>
      </c>
      <c r="BH10" s="52">
        <f>N50/1000</f>
        <v>64.120920444075267</v>
      </c>
      <c r="BI10" s="52">
        <f>O50/1000</f>
        <v>93.007714726684185</v>
      </c>
      <c r="BJ10" s="52">
        <f>P50/1000</f>
        <v>41.376403506857827</v>
      </c>
      <c r="BK10" s="53">
        <f>Q50/1000</f>
        <v>198.50503867761728</v>
      </c>
      <c r="BL10" s="54">
        <f>R50/1000</f>
        <v>0.54382893432813761</v>
      </c>
      <c r="BM10" s="51">
        <f>Q51/1000</f>
        <v>198.50503867761728</v>
      </c>
      <c r="BN10" s="54">
        <f>R51/1000</f>
        <v>0.54382893432813761</v>
      </c>
      <c r="BP10" s="30"/>
      <c r="BQ10" s="30"/>
      <c r="BR10" s="30"/>
      <c r="BS10" s="31"/>
      <c r="BT10" s="31"/>
      <c r="BU10" s="32"/>
    </row>
    <row r="11" spans="1:77">
      <c r="A11" s="699"/>
      <c r="B11" s="23"/>
      <c r="C11" s="17" t="s">
        <v>183</v>
      </c>
      <c r="D11" s="57"/>
      <c r="E11" s="2"/>
      <c r="F11" s="2"/>
      <c r="G11" s="63"/>
      <c r="H11" s="2"/>
      <c r="I11" s="20"/>
      <c r="J11" s="21"/>
      <c r="K11" s="21"/>
      <c r="L11" s="22"/>
      <c r="M11" s="2"/>
      <c r="N11" s="23"/>
      <c r="O11" s="19"/>
      <c r="P11" s="19"/>
      <c r="Q11" s="19"/>
      <c r="R11" s="33"/>
      <c r="T11" s="57"/>
      <c r="U11" s="2"/>
      <c r="V11" s="2"/>
      <c r="W11" s="199">
        <f>SUMIF([2]ACT!$T$62:$T$98,C11,[2]ACT!$S$62:$S$98)</f>
        <v>0</v>
      </c>
      <c r="X11" s="198"/>
      <c r="Y11" s="198"/>
      <c r="Z11" s="198"/>
      <c r="AA11" s="274"/>
      <c r="AB11" s="21"/>
      <c r="AC11" s="21"/>
      <c r="AD11" s="21"/>
      <c r="AE11" s="21"/>
      <c r="AF11" s="70"/>
      <c r="AG11" s="20"/>
      <c r="AH11" s="21"/>
      <c r="AI11" s="21"/>
      <c r="AJ11" s="22">
        <f t="shared" si="0"/>
        <v>0</v>
      </c>
      <c r="AK11" s="29">
        <f>AJ11/[2]Popn!$B$43*1000</f>
        <v>0</v>
      </c>
      <c r="AL11" s="19"/>
      <c r="AM11" s="57"/>
      <c r="AN11" s="2"/>
      <c r="AO11" s="2"/>
      <c r="AP11" s="63"/>
      <c r="AQ11" s="68"/>
      <c r="AR11" s="21"/>
      <c r="AS11" s="21"/>
      <c r="AT11" s="21"/>
      <c r="AU11" s="25"/>
      <c r="AV11" s="21"/>
      <c r="AW11" s="22"/>
      <c r="AX11" s="2"/>
      <c r="AY11" s="23"/>
      <c r="AZ11" s="19"/>
      <c r="BA11" s="19"/>
      <c r="BB11" s="19"/>
      <c r="BC11" s="24"/>
      <c r="BD11" s="30"/>
      <c r="BG11" s="77" t="s">
        <v>68</v>
      </c>
      <c r="BH11" s="52"/>
      <c r="BI11" s="52"/>
      <c r="BJ11" s="52"/>
      <c r="BK11" s="53">
        <f>AJ50/1000</f>
        <v>704.5913880702069</v>
      </c>
      <c r="BL11" s="54">
        <f>AK50/1000</f>
        <v>1.9303146472433077</v>
      </c>
      <c r="BM11" s="51">
        <f>AJ51/1000</f>
        <v>704.5913880702069</v>
      </c>
      <c r="BN11" s="54">
        <f>AK51/1000</f>
        <v>1.9303146472433077</v>
      </c>
      <c r="BY11" s="6" t="s">
        <v>112</v>
      </c>
    </row>
    <row r="12" spans="1:77" s="106" customFormat="1">
      <c r="A12" s="699"/>
      <c r="B12" s="107" t="s">
        <v>67</v>
      </c>
      <c r="C12" s="108"/>
      <c r="D12" s="109"/>
      <c r="E12" s="110"/>
      <c r="F12" s="110"/>
      <c r="G12" s="63"/>
      <c r="H12" s="110"/>
      <c r="I12" s="112">
        <f>D50*[2]ACT!$J$781</f>
        <v>1649.0920907909203</v>
      </c>
      <c r="J12" s="113">
        <f>(E$50-G$46)*[2]ACT!$J$672</f>
        <v>2121.7052950777565</v>
      </c>
      <c r="K12" s="113">
        <f>F50*[2]ACT!$J$687</f>
        <v>17121.476268046106</v>
      </c>
      <c r="L12" s="114">
        <f>SUM(I12:K12)</f>
        <v>20892.273653914785</v>
      </c>
      <c r="M12" s="110"/>
      <c r="N12" s="112">
        <f>I12-AU12</f>
        <v>1649.0920907909203</v>
      </c>
      <c r="O12" s="113">
        <f>J12-AV12</f>
        <v>2121.7052950777565</v>
      </c>
      <c r="P12" s="113">
        <f>K12-AW12</f>
        <v>17121.476268046106</v>
      </c>
      <c r="Q12" s="114">
        <f>SUM(N12:P12)</f>
        <v>20892.273653914785</v>
      </c>
      <c r="R12" s="115">
        <f>Q12/[2]Popn!$B$43*1000</f>
        <v>57.236949714674545</v>
      </c>
      <c r="T12" s="109"/>
      <c r="U12" s="110"/>
      <c r="V12" s="110"/>
      <c r="W12" s="203">
        <f>SUMIF([2]ACT!$U$62:$U$98,B7,[2]ACT!$S$62:$S$98)</f>
        <v>276130.50773722632</v>
      </c>
      <c r="X12" s="130"/>
      <c r="Y12" s="130"/>
      <c r="Z12" s="130"/>
      <c r="AA12" s="276"/>
      <c r="AB12" s="113"/>
      <c r="AC12" s="113"/>
      <c r="AD12" s="113"/>
      <c r="AE12" s="113"/>
      <c r="AF12" s="117"/>
      <c r="AG12" s="112"/>
      <c r="AH12" s="113"/>
      <c r="AI12" s="113"/>
      <c r="AJ12" s="114">
        <f t="shared" si="0"/>
        <v>276130.50773722632</v>
      </c>
      <c r="AK12" s="118">
        <f>AJ12/[2]Popn!$B$43*1000</f>
        <v>756.49344096551522</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11.910904373442966</v>
      </c>
      <c r="BI12" s="52">
        <f>AZ50/1000</f>
        <v>15.057830071705583</v>
      </c>
      <c r="BJ12" s="52">
        <f>BA50/1000</f>
        <v>4.3068081719742857</v>
      </c>
      <c r="BK12" s="53">
        <f>BB50/1000</f>
        <v>31.275542617122831</v>
      </c>
      <c r="BL12" s="54">
        <f>BC50/1000</f>
        <v>8.5683190337686829E-2</v>
      </c>
      <c r="BM12" s="51">
        <f>BB51/1000</f>
        <v>31.275542617122831</v>
      </c>
      <c r="BN12" s="54">
        <f>BC51/1000</f>
        <v>8.5683190337686829E-2</v>
      </c>
      <c r="BO12" s="6"/>
      <c r="BY12" s="356" t="s">
        <v>113</v>
      </c>
    </row>
    <row r="13" spans="1:77">
      <c r="A13" s="699"/>
      <c r="B13" s="23" t="s">
        <v>4</v>
      </c>
      <c r="C13" s="17" t="s">
        <v>19</v>
      </c>
      <c r="D13" s="57"/>
      <c r="E13" s="2"/>
      <c r="F13" s="2"/>
      <c r="G13" s="63"/>
      <c r="H13" s="2"/>
      <c r="I13" s="112"/>
      <c r="J13" s="113"/>
      <c r="K13" s="113"/>
      <c r="L13" s="22"/>
      <c r="M13" s="2"/>
      <c r="N13" s="23"/>
      <c r="O13" s="19"/>
      <c r="P13" s="19"/>
      <c r="Q13" s="19"/>
      <c r="R13" s="33"/>
      <c r="T13" s="57"/>
      <c r="U13" s="2"/>
      <c r="V13" s="2"/>
      <c r="W13" s="199">
        <f>SUMIF([2]ACT!$T$62:$T$98,C13,[2]ACT!$S$62:$S$98)</f>
        <v>4407.2633576642338</v>
      </c>
      <c r="X13" s="198"/>
      <c r="Y13" s="198"/>
      <c r="Z13" s="198"/>
      <c r="AA13" s="274"/>
      <c r="AB13" s="21"/>
      <c r="AC13" s="21"/>
      <c r="AD13" s="21"/>
      <c r="AE13" s="21"/>
      <c r="AF13" s="70"/>
      <c r="AG13" s="20"/>
      <c r="AH13" s="21"/>
      <c r="AI13" s="21"/>
      <c r="AJ13" s="22">
        <f t="shared" si="0"/>
        <v>4407.2633576642338</v>
      </c>
      <c r="AK13" s="29">
        <f>AJ13/[2]Popn!$B$43*1000</f>
        <v>12.07423927910725</v>
      </c>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1">SUM(BH11:BH12)/BH14</f>
        <v>0.15665682629648811</v>
      </c>
      <c r="BI13" s="86">
        <f t="shared" si="1"/>
        <v>0.13933978771677791</v>
      </c>
      <c r="BJ13" s="86">
        <f t="shared" si="1"/>
        <v>9.4275512025129779E-2</v>
      </c>
      <c r="BK13" s="87">
        <f t="shared" si="1"/>
        <v>0.78755244679211356</v>
      </c>
      <c r="BL13" s="87">
        <f t="shared" si="1"/>
        <v>0.78755244679211345</v>
      </c>
      <c r="BM13" s="88">
        <f t="shared" si="1"/>
        <v>0.78755244679211356</v>
      </c>
      <c r="BN13" s="87">
        <f t="shared" si="1"/>
        <v>0.78755244679211345</v>
      </c>
    </row>
    <row r="14" spans="1:77">
      <c r="A14" s="699"/>
      <c r="B14" s="23"/>
      <c r="C14" s="17" t="s">
        <v>20</v>
      </c>
      <c r="D14" s="57"/>
      <c r="E14" s="2"/>
      <c r="F14" s="2"/>
      <c r="G14" s="63"/>
      <c r="H14" s="2"/>
      <c r="I14" s="20"/>
      <c r="J14" s="21"/>
      <c r="K14" s="21"/>
      <c r="L14" s="22"/>
      <c r="M14" s="2"/>
      <c r="N14" s="23"/>
      <c r="O14" s="19"/>
      <c r="P14" s="19"/>
      <c r="Q14" s="19"/>
      <c r="R14" s="33"/>
      <c r="T14" s="57"/>
      <c r="U14" s="2"/>
      <c r="V14" s="2"/>
      <c r="W14" s="199">
        <f>SUMIF([2]ACT!$T$62:$T$98,C14,[2]ACT!$S$62:$S$98)</f>
        <v>238.50554744525547</v>
      </c>
      <c r="X14" s="198"/>
      <c r="Y14" s="198"/>
      <c r="Z14" s="198"/>
      <c r="AA14" s="274"/>
      <c r="AB14" s="21"/>
      <c r="AC14" s="21"/>
      <c r="AD14" s="21"/>
      <c r="AE14" s="21"/>
      <c r="AF14" s="70"/>
      <c r="AG14" s="20"/>
      <c r="AH14" s="21"/>
      <c r="AI14" s="21"/>
      <c r="AJ14" s="22">
        <f t="shared" si="0"/>
        <v>238.50554744525547</v>
      </c>
      <c r="AK14" s="29">
        <f>AJ14/[2]Popn!$B$43*1000</f>
        <v>0.65341524105668747</v>
      </c>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2">SUM(BH10:BH12)</f>
        <v>76.031824817518228</v>
      </c>
      <c r="BI14" s="52">
        <f t="shared" si="2"/>
        <v>108.06554479838977</v>
      </c>
      <c r="BJ14" s="52">
        <f t="shared" si="2"/>
        <v>45.683211678832109</v>
      </c>
      <c r="BK14" s="74">
        <f t="shared" si="2"/>
        <v>934.37196936494695</v>
      </c>
      <c r="BL14" s="76">
        <f t="shared" si="2"/>
        <v>2.5598267719091323</v>
      </c>
      <c r="BM14" s="81">
        <f t="shared" si="2"/>
        <v>934.37196936494695</v>
      </c>
      <c r="BN14" s="76">
        <f t="shared" si="2"/>
        <v>2.5598267719091323</v>
      </c>
    </row>
    <row r="15" spans="1:77">
      <c r="A15" s="699"/>
      <c r="B15" s="23"/>
      <c r="C15" s="17" t="s">
        <v>21</v>
      </c>
      <c r="D15" s="57"/>
      <c r="E15" s="2"/>
      <c r="F15" s="2"/>
      <c r="G15" s="63"/>
      <c r="H15" s="2"/>
      <c r="I15" s="20"/>
      <c r="J15" s="21"/>
      <c r="K15" s="21"/>
      <c r="L15" s="22"/>
      <c r="M15" s="2"/>
      <c r="N15" s="23"/>
      <c r="O15" s="19"/>
      <c r="P15" s="19"/>
      <c r="Q15" s="19"/>
      <c r="R15" s="33"/>
      <c r="T15" s="57"/>
      <c r="U15" s="2"/>
      <c r="V15" s="2"/>
      <c r="W15" s="199"/>
      <c r="X15" s="198"/>
      <c r="Y15" s="198"/>
      <c r="Z15" s="198"/>
      <c r="AA15" s="274"/>
      <c r="AB15" s="21"/>
      <c r="AC15" s="21"/>
      <c r="AD15" s="21"/>
      <c r="AE15" s="21"/>
      <c r="AF15" s="70"/>
      <c r="AG15" s="20"/>
      <c r="AH15" s="21"/>
      <c r="AI15" s="21"/>
      <c r="AJ15" s="22"/>
      <c r="AK15" s="29"/>
      <c r="AL15" s="19"/>
      <c r="AM15" s="57"/>
      <c r="AN15" s="2"/>
      <c r="AO15" s="2"/>
      <c r="AP15" s="63"/>
      <c r="AQ15" s="68"/>
      <c r="AR15" s="21"/>
      <c r="AS15" s="21"/>
      <c r="AT15" s="21"/>
      <c r="AU15" s="25"/>
      <c r="AV15" s="21"/>
      <c r="AW15" s="22"/>
      <c r="AX15" s="2"/>
      <c r="AY15" s="23"/>
      <c r="AZ15" s="19"/>
      <c r="BA15" s="19"/>
      <c r="BB15" s="19"/>
      <c r="BC15" s="24"/>
      <c r="BD15" s="30"/>
    </row>
    <row r="16" spans="1:77" s="106" customFormat="1">
      <c r="A16" s="699"/>
      <c r="B16" s="107" t="s">
        <v>67</v>
      </c>
      <c r="C16" s="108"/>
      <c r="D16" s="109"/>
      <c r="E16" s="110"/>
      <c r="F16" s="110"/>
      <c r="G16" s="63"/>
      <c r="H16" s="110"/>
      <c r="I16" s="112">
        <f>D50*[2]ACT!$J$782</f>
        <v>2083.0636936306364</v>
      </c>
      <c r="J16" s="113">
        <f>(E$50-G$46)*[2]ACT!$J$673</f>
        <v>3646.6809759148941</v>
      </c>
      <c r="K16" s="113">
        <f>F50*[2]ACT!$J$688</f>
        <v>2646.0463323343984</v>
      </c>
      <c r="L16" s="114">
        <f>SUM(I16:K16)</f>
        <v>8375.7910018799303</v>
      </c>
      <c r="M16" s="110"/>
      <c r="N16" s="112">
        <f>I16-AU16</f>
        <v>2083.0636936306364</v>
      </c>
      <c r="O16" s="113">
        <f>J16-AV16</f>
        <v>3646.6809759148941</v>
      </c>
      <c r="P16" s="113">
        <f>K16-AW16</f>
        <v>2646.0463323343984</v>
      </c>
      <c r="Q16" s="114">
        <f>SUM(N16:P16)</f>
        <v>8375.7910018799303</v>
      </c>
      <c r="R16" s="115">
        <f>Q16/[2]Popn!$B$43*1000</f>
        <v>22.946508184636688</v>
      </c>
      <c r="T16" s="109"/>
      <c r="U16" s="110"/>
      <c r="V16" s="110"/>
      <c r="W16" s="203">
        <f>SUMIF([2]ACT!$U$62:$U$98,B13,[2]ACT!$S$62:$S$98)</f>
        <v>4943.1062364963509</v>
      </c>
      <c r="X16" s="130"/>
      <c r="Y16" s="130"/>
      <c r="Z16" s="130"/>
      <c r="AA16" s="276"/>
      <c r="AB16" s="113"/>
      <c r="AC16" s="113"/>
      <c r="AD16" s="113"/>
      <c r="AE16" s="113"/>
      <c r="AF16" s="117"/>
      <c r="AG16" s="112"/>
      <c r="AH16" s="113"/>
      <c r="AI16" s="113"/>
      <c r="AJ16" s="114">
        <f t="shared" si="0"/>
        <v>4943.1062364963509</v>
      </c>
      <c r="AK16" s="118">
        <f>AJ16/[2]Popn!$B$43*1000</f>
        <v>13.542246659191198</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Problem</v>
      </c>
      <c r="BL16" s="6"/>
      <c r="BM16" s="6"/>
      <c r="BN16" s="6"/>
      <c r="BO16" s="6"/>
    </row>
    <row r="17" spans="1:67">
      <c r="A17" s="699"/>
      <c r="B17" s="23" t="s">
        <v>2</v>
      </c>
      <c r="C17" s="17" t="s">
        <v>22</v>
      </c>
      <c r="D17" s="57"/>
      <c r="E17" s="2"/>
      <c r="F17" s="2"/>
      <c r="G17" s="63"/>
      <c r="H17" s="2"/>
      <c r="I17" s="112"/>
      <c r="J17" s="113"/>
      <c r="K17" s="113"/>
      <c r="L17" s="22"/>
      <c r="M17" s="2"/>
      <c r="N17" s="20"/>
      <c r="O17" s="21"/>
      <c r="P17" s="21"/>
      <c r="Q17" s="21"/>
      <c r="R17" s="34"/>
      <c r="T17" s="57"/>
      <c r="U17" s="2"/>
      <c r="V17" s="2"/>
      <c r="W17" s="199">
        <f>SUMIF([2]ACT!$T$62:$T$98,C17,[2]ACT!$S$62:$S$98)</f>
        <v>646.77810218978095</v>
      </c>
      <c r="X17" s="198"/>
      <c r="Y17" s="198"/>
      <c r="Z17" s="198"/>
      <c r="AA17" s="274"/>
      <c r="AB17" s="21"/>
      <c r="AC17" s="21"/>
      <c r="AD17" s="21"/>
      <c r="AE17" s="21"/>
      <c r="AF17" s="70"/>
      <c r="AG17" s="20"/>
      <c r="AH17" s="21"/>
      <c r="AI17" s="21"/>
      <c r="AJ17" s="22">
        <f t="shared" si="0"/>
        <v>646.77810218978095</v>
      </c>
      <c r="AK17" s="29">
        <f>AJ17/[2]Popn!$B$43*1000</f>
        <v>1.7719280498057428</v>
      </c>
      <c r="AL17" s="19"/>
      <c r="AM17" s="57"/>
      <c r="AN17" s="2"/>
      <c r="AO17" s="2"/>
      <c r="AP17" s="63"/>
      <c r="AQ17" s="70"/>
      <c r="AR17" s="21">
        <f>L22*'[2]Lfill en &amp; composn'!$B$82/SUM('[2]Lfill en &amp; composn'!$B$82,'[2]Lfill en &amp; composn'!$B$84:$B$85,'[2]Lfill en &amp; composn'!$B$87:$B$88)*'[2]Lfill en &amp; composn'!$D$16</f>
        <v>6753.6128959360367</v>
      </c>
      <c r="AS17" s="35">
        <f>AR17/SUM($AR$7:$AR$49)</f>
        <v>0.29098629776775509</v>
      </c>
      <c r="AT17" s="21">
        <f>AS17*'[2]Lfill en &amp; composn'!$B$64/'[2]Lfill en &amp; composn'!$B$16</f>
        <v>14794.570142559396</v>
      </c>
      <c r="AU17" s="25"/>
      <c r="AV17" s="21"/>
      <c r="AW17" s="22"/>
      <c r="AX17" s="82"/>
      <c r="AY17" s="20"/>
      <c r="AZ17" s="21"/>
      <c r="BA17" s="21"/>
      <c r="BB17" s="21"/>
      <c r="BC17" s="29"/>
      <c r="BD17" s="30"/>
      <c r="BJ17" s="427" t="s">
        <v>138</v>
      </c>
      <c r="BK17" s="428" t="str">
        <f>IF(SUM(BH11:BJ11)=BK11,"OK","Problem")</f>
        <v>Problem</v>
      </c>
    </row>
    <row r="18" spans="1:67">
      <c r="A18" s="699"/>
      <c r="B18" s="23"/>
      <c r="C18" s="17" t="s">
        <v>23</v>
      </c>
      <c r="D18" s="57"/>
      <c r="E18" s="2"/>
      <c r="F18" s="2"/>
      <c r="G18" s="63"/>
      <c r="H18" s="2"/>
      <c r="I18" s="20"/>
      <c r="J18" s="21"/>
      <c r="K18" s="21"/>
      <c r="L18" s="22"/>
      <c r="M18" s="2"/>
      <c r="N18" s="20"/>
      <c r="O18" s="21"/>
      <c r="P18" s="21"/>
      <c r="Q18" s="21"/>
      <c r="R18" s="34"/>
      <c r="T18" s="201"/>
      <c r="U18" s="2"/>
      <c r="V18" s="2"/>
      <c r="W18" s="199">
        <f>SUMIF([2]ACT!$T$62:$T$98,C18,[2]ACT!$S$62:$S$98)</f>
        <v>272203.31883211678</v>
      </c>
      <c r="X18" s="198"/>
      <c r="Y18" s="198"/>
      <c r="Z18" s="198"/>
      <c r="AA18" s="274"/>
      <c r="AB18" s="21"/>
      <c r="AC18" s="21"/>
      <c r="AD18" s="21"/>
      <c r="AE18" s="21"/>
      <c r="AF18" s="70"/>
      <c r="AG18" s="20"/>
      <c r="AH18" s="21"/>
      <c r="AI18" s="21"/>
      <c r="AJ18" s="22">
        <f t="shared" si="0"/>
        <v>272203.31883211678</v>
      </c>
      <c r="AK18" s="29">
        <f>AJ18/[2]Popn!$B$43*1000</f>
        <v>745.73442461309139</v>
      </c>
      <c r="AL18" s="19"/>
      <c r="AM18" s="57"/>
      <c r="AN18" s="2"/>
      <c r="AO18" s="2"/>
      <c r="AP18" s="63"/>
      <c r="AQ18" s="68"/>
      <c r="AR18" s="21">
        <f>L22*'[2]Lfill en &amp; composn'!$B$84/SUM('[2]Lfill en &amp; composn'!$B$82,'[2]Lfill en &amp; composn'!$B$84:$B$85,'[2]Lfill en &amp; composn'!$B$87:$B$88)*'[2]Lfill en &amp; composn'!$D$18</f>
        <v>1898.8192403885973</v>
      </c>
      <c r="AS18" s="35">
        <f>AR18/SUM($AR$7:$AR$49)</f>
        <v>8.1812563053968057E-2</v>
      </c>
      <c r="AT18" s="21">
        <f>AS18*'[2]Lfill en &amp; composn'!$B$64/'[2]Lfill en &amp; composn'!$B$18</f>
        <v>3119.6873665436365</v>
      </c>
      <c r="AU18" s="25"/>
      <c r="AV18" s="21"/>
      <c r="AW18" s="22"/>
      <c r="AX18" s="2"/>
      <c r="AY18" s="20"/>
      <c r="AZ18" s="21"/>
      <c r="BA18" s="21"/>
      <c r="BB18" s="21"/>
      <c r="BC18" s="29"/>
      <c r="BD18" s="36"/>
      <c r="BJ18" s="429" t="s">
        <v>139</v>
      </c>
    </row>
    <row r="19" spans="1:67">
      <c r="A19" s="699"/>
      <c r="B19" s="23"/>
      <c r="C19" s="17" t="s">
        <v>24</v>
      </c>
      <c r="D19" s="57"/>
      <c r="E19" s="2"/>
      <c r="F19" s="2"/>
      <c r="G19" s="63"/>
      <c r="H19" s="2"/>
      <c r="I19" s="20"/>
      <c r="J19" s="21"/>
      <c r="K19" s="21"/>
      <c r="L19" s="22"/>
      <c r="M19" s="2"/>
      <c r="N19" s="20"/>
      <c r="O19" s="21"/>
      <c r="P19" s="21"/>
      <c r="Q19" s="21"/>
      <c r="R19" s="34"/>
      <c r="T19" s="57"/>
      <c r="U19" s="2"/>
      <c r="V19" s="2"/>
      <c r="W19" s="199">
        <f>SUMIF([2]ACT!$T$62:$T$98,C19,[2]ACT!$S$62:$S$98)</f>
        <v>13066.600729927008</v>
      </c>
      <c r="X19" s="198"/>
      <c r="Y19" s="198"/>
      <c r="Z19" s="198"/>
      <c r="AA19" s="274"/>
      <c r="AB19" s="21"/>
      <c r="AC19" s="21"/>
      <c r="AD19" s="21"/>
      <c r="AE19" s="21"/>
      <c r="AF19" s="70"/>
      <c r="AG19" s="20"/>
      <c r="AH19" s="21"/>
      <c r="AI19" s="21"/>
      <c r="AJ19" s="22">
        <f t="shared" si="0"/>
        <v>13066.600729927008</v>
      </c>
      <c r="AK19" s="29">
        <f>AJ19/[2]Popn!$B$43*1000</f>
        <v>35.797557571261379</v>
      </c>
      <c r="AL19" s="19"/>
      <c r="AM19" s="57"/>
      <c r="AN19" s="2"/>
      <c r="AO19" s="2"/>
      <c r="AP19" s="63"/>
      <c r="AQ19" s="70"/>
      <c r="AR19" s="21">
        <f>L22*'[2]Lfill en &amp; composn'!$B$85/SUM('[2]Lfill en &amp; composn'!$B$82,'[2]Lfill en &amp; composn'!$B$84:$B$85,'[2]Lfill en &amp; composn'!$B$87:$B$88)*'[2]Lfill en &amp; composn'!$D$19</f>
        <v>1448.5427659735824</v>
      </c>
      <c r="AS19" s="35">
        <f>AR19/SUM($AR$7:$AR$49)</f>
        <v>6.241194204106016E-2</v>
      </c>
      <c r="AT19" s="21">
        <f>AS19*'[2]Lfill en &amp; composn'!$B$64/'[2]Lfill en &amp; composn'!$B$19</f>
        <v>1106.9303934182383</v>
      </c>
      <c r="AU19" s="25"/>
      <c r="AV19" s="21"/>
      <c r="AW19" s="22"/>
      <c r="AX19" s="2"/>
      <c r="AY19" s="20"/>
      <c r="AZ19" s="21"/>
      <c r="BA19" s="21"/>
      <c r="BB19" s="21"/>
      <c r="BC19" s="29"/>
    </row>
    <row r="20" spans="1:67">
      <c r="A20" s="699"/>
      <c r="B20" s="23"/>
      <c r="C20" s="17" t="s">
        <v>25</v>
      </c>
      <c r="D20" s="57"/>
      <c r="E20" s="2"/>
      <c r="F20" s="2"/>
      <c r="G20" s="63"/>
      <c r="H20" s="2"/>
      <c r="I20" s="20"/>
      <c r="J20" s="21"/>
      <c r="K20" s="21"/>
      <c r="L20" s="22"/>
      <c r="M20" s="2"/>
      <c r="N20" s="20"/>
      <c r="O20" s="21"/>
      <c r="P20" s="21"/>
      <c r="Q20" s="21"/>
      <c r="R20" s="34"/>
      <c r="T20" s="57"/>
      <c r="U20" s="2"/>
      <c r="V20" s="2"/>
      <c r="W20" s="199"/>
      <c r="X20" s="198"/>
      <c r="Y20" s="198"/>
      <c r="Z20" s="198"/>
      <c r="AA20" s="274"/>
      <c r="AB20" s="21"/>
      <c r="AC20" s="21"/>
      <c r="AD20" s="21"/>
      <c r="AE20" s="21"/>
      <c r="AF20" s="70"/>
      <c r="AG20" s="20"/>
      <c r="AH20" s="21"/>
      <c r="AI20" s="21"/>
      <c r="AJ20" s="22"/>
      <c r="AK20" s="29"/>
      <c r="AL20" s="19"/>
      <c r="AM20" s="57"/>
      <c r="AN20" s="2"/>
      <c r="AO20" s="2"/>
      <c r="AP20" s="63"/>
      <c r="AQ20" s="68"/>
      <c r="AR20" s="21">
        <f>L22*'[2]Lfill en &amp; composn'!$B$93/SUM('[2]Lfill en &amp; composn'!$B$82,'[2]Lfill en &amp; composn'!$B$84:$B$85,'[2]Lfill en &amp; composn'!$B$87:$B$88)*'[2]Lfill en &amp; composn'!$D$24</f>
        <v>459.4294487031317</v>
      </c>
      <c r="AS20" s="35">
        <f>AR20/SUM($AR$7:$AR$49)</f>
        <v>1.9794986242704423E-2</v>
      </c>
      <c r="AT20" s="21">
        <f>AS20*'[2]Lfill en &amp; composn'!$B$64/'[2]Lfill en &amp; composn'!$B$24</f>
        <v>629.020839394532</v>
      </c>
      <c r="AU20" s="25"/>
      <c r="AV20" s="21"/>
      <c r="AW20" s="22"/>
      <c r="AX20" s="83"/>
      <c r="AY20" s="20"/>
      <c r="AZ20" s="21"/>
      <c r="BA20" s="21"/>
      <c r="BB20" s="21"/>
      <c r="BC20" s="29"/>
    </row>
    <row r="21" spans="1:67">
      <c r="A21" s="699"/>
      <c r="B21" s="23"/>
      <c r="C21" s="17" t="s">
        <v>0</v>
      </c>
      <c r="D21" s="57"/>
      <c r="E21" s="2"/>
      <c r="F21" s="2"/>
      <c r="G21" s="199"/>
      <c r="H21" s="198">
        <f>[2]Biosolids!$B$192</f>
        <v>3351.4837153196622</v>
      </c>
      <c r="I21" s="112"/>
      <c r="J21" s="113"/>
      <c r="K21" s="113"/>
      <c r="L21" s="22"/>
      <c r="M21" s="2" t="s">
        <v>193</v>
      </c>
      <c r="N21" s="23"/>
      <c r="O21" s="19"/>
      <c r="P21" s="19"/>
      <c r="Q21" s="19"/>
      <c r="R21" s="34"/>
      <c r="T21" s="57"/>
      <c r="U21" s="2"/>
      <c r="V21" s="2"/>
      <c r="W21" s="199"/>
      <c r="X21" s="198"/>
      <c r="Y21" s="198"/>
      <c r="Z21" s="198"/>
      <c r="AA21" s="278">
        <f>[2]Biosolids!$B$191</f>
        <v>41256.447527141136</v>
      </c>
      <c r="AB21" s="21"/>
      <c r="AC21" s="21"/>
      <c r="AD21" s="21"/>
      <c r="AE21" s="21"/>
      <c r="AF21" s="355" t="s">
        <v>110</v>
      </c>
      <c r="AG21" s="20"/>
      <c r="AH21" s="21"/>
      <c r="AI21" s="21"/>
      <c r="AJ21" s="22">
        <f>AA21</f>
        <v>41256.447527141136</v>
      </c>
      <c r="AK21" s="29">
        <f>AJ21/[2]Popn!$B$43*1000</f>
        <v>113.02710521765587</v>
      </c>
      <c r="AL21" s="19"/>
      <c r="AM21" s="57"/>
      <c r="AN21" s="2"/>
      <c r="AO21" s="2"/>
      <c r="AP21" s="63"/>
      <c r="AQ21" s="68"/>
      <c r="AR21" s="21">
        <f>L22*'[2]Lfill en &amp; composn'!$B$87/SUM('[2]Lfill en &amp; composn'!$B$82,'[2]Lfill en &amp; composn'!$B$84:$B$85,'[2]Lfill en &amp; composn'!$B$87:$B$88)*'[2]Lfill en &amp; composn'!$D$21</f>
        <v>35.058206478073274</v>
      </c>
      <c r="AS21" s="35">
        <f>AR21/SUM($AR$7:$AR$49)</f>
        <v>1.5105185722993927E-3</v>
      </c>
      <c r="AT21" s="21">
        <f>AS21*'[2]Lfill en &amp; composn'!$B$64/'[2]Lfill en &amp; composn'!$B$21</f>
        <v>230.39716791776462</v>
      </c>
      <c r="AU21" s="25"/>
      <c r="AV21" s="21"/>
      <c r="AW21" s="22"/>
      <c r="AX21" s="2"/>
      <c r="AY21" s="23"/>
      <c r="AZ21" s="19"/>
      <c r="BA21" s="19"/>
      <c r="BB21" s="21"/>
      <c r="BC21" s="24"/>
    </row>
    <row r="22" spans="1:67" s="106" customFormat="1">
      <c r="A22" s="699"/>
      <c r="B22" s="107" t="s">
        <v>67</v>
      </c>
      <c r="C22" s="108"/>
      <c r="D22" s="109"/>
      <c r="E22" s="110"/>
      <c r="F22" s="110"/>
      <c r="G22" s="63"/>
      <c r="H22" s="110"/>
      <c r="I22" s="112">
        <f>D50*[2]ACT!$J$783</f>
        <v>44525.486451354853</v>
      </c>
      <c r="J22" s="113">
        <f>(E$50-G$46)*[2]ACT!$J$674</f>
        <v>36466.809759148942</v>
      </c>
      <c r="K22" s="113">
        <f>F50*[2]ACT!$J$689</f>
        <v>12685.457416779616</v>
      </c>
      <c r="L22" s="114">
        <f>SUM(I22:K22)</f>
        <v>93677.753627283411</v>
      </c>
      <c r="M22" s="110"/>
      <c r="N22" s="112">
        <f>I22-AU22</f>
        <v>35076.138929584122</v>
      </c>
      <c r="O22" s="113">
        <f>J22-AV22</f>
        <v>28727.701533998639</v>
      </c>
      <c r="P22" s="113">
        <f>K22-AW22</f>
        <v>9993.3072538670858</v>
      </c>
      <c r="Q22" s="114">
        <f>SUM(N22:P22)</f>
        <v>73797.147717449843</v>
      </c>
      <c r="R22" s="115">
        <f>Q22/[2]Popn!$B$43*1000</f>
        <v>202.17635011681023</v>
      </c>
      <c r="T22" s="109"/>
      <c r="U22" s="110"/>
      <c r="V22" s="110"/>
      <c r="W22" s="203">
        <f>SUMIF([2]ACT!$U$62:$U$98,B17,[2]ACT!$S$62:$S$98)</f>
        <v>285916.69766423362</v>
      </c>
      <c r="X22" s="130"/>
      <c r="Y22" s="130"/>
      <c r="Z22" s="130"/>
      <c r="AA22" s="276"/>
      <c r="AB22" s="113"/>
      <c r="AC22" s="113"/>
      <c r="AD22" s="113"/>
      <c r="AE22" s="113"/>
      <c r="AF22" s="117"/>
      <c r="AG22" s="112"/>
      <c r="AH22" s="113"/>
      <c r="AI22" s="113"/>
      <c r="AJ22" s="114">
        <f>SUM(AJ17:AJ21)</f>
        <v>327173.1451913747</v>
      </c>
      <c r="AK22" s="118">
        <f>AJ22/[2]Popn!$B$43*1000</f>
        <v>896.33101545181432</v>
      </c>
      <c r="AL22" s="119"/>
      <c r="AM22" s="109"/>
      <c r="AN22" s="110"/>
      <c r="AO22" s="110"/>
      <c r="AP22" s="111"/>
      <c r="AQ22" s="116"/>
      <c r="AR22" s="113"/>
      <c r="AS22" s="113"/>
      <c r="AT22" s="113">
        <f>SUM(AT17:AT21)</f>
        <v>19880.605909833568</v>
      </c>
      <c r="AU22" s="120">
        <f>$AT22*I22/SUM($I22:$K22)</f>
        <v>9449.3475217707328</v>
      </c>
      <c r="AV22" s="113">
        <f>$AT22*J22/SUM($I22:$K22)</f>
        <v>7739.1082251503049</v>
      </c>
      <c r="AW22" s="114">
        <f>$AT22*K22/SUM($I22:$K22)</f>
        <v>2692.1501629125305</v>
      </c>
      <c r="AX22" s="110"/>
      <c r="AY22" s="241">
        <f>AU22</f>
        <v>9449.3475217707328</v>
      </c>
      <c r="AZ22" s="242">
        <f>AV22</f>
        <v>7739.1082251503049</v>
      </c>
      <c r="BA22" s="242">
        <f>AW22</f>
        <v>2692.1501629125305</v>
      </c>
      <c r="BB22" s="243">
        <f>AT22+AP22</f>
        <v>19880.605909833568</v>
      </c>
      <c r="BC22" s="118">
        <f>BB22/[2]Popn!$B$43*1000</f>
        <v>54.465361674275471</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112"/>
      <c r="J23" s="113"/>
      <c r="K23" s="113"/>
      <c r="L23" s="22"/>
      <c r="M23" s="2"/>
      <c r="N23" s="23"/>
      <c r="O23" s="19"/>
      <c r="P23" s="19"/>
      <c r="Q23" s="19"/>
      <c r="R23" s="33"/>
      <c r="T23" s="57"/>
      <c r="U23" s="2"/>
      <c r="V23" s="2"/>
      <c r="W23" s="199"/>
      <c r="X23" s="198"/>
      <c r="Y23" s="198"/>
      <c r="Z23" s="198"/>
      <c r="AA23" s="274"/>
      <c r="AB23" s="21"/>
      <c r="AC23" s="21"/>
      <c r="AD23" s="21"/>
      <c r="AE23" s="21"/>
      <c r="AF23" s="70"/>
      <c r="AG23" s="20"/>
      <c r="AH23" s="21"/>
      <c r="AI23" s="21"/>
      <c r="AJ23" s="22"/>
      <c r="AK23" s="29"/>
      <c r="AL23" s="19"/>
      <c r="AM23" s="57"/>
      <c r="AN23" s="2"/>
      <c r="AO23" s="2"/>
      <c r="AP23" s="63"/>
      <c r="AQ23" s="68"/>
      <c r="AR23" s="21"/>
      <c r="AS23" s="21"/>
      <c r="AT23" s="21"/>
      <c r="AU23" s="240"/>
      <c r="AV23" s="19"/>
      <c r="AW23" s="195"/>
      <c r="AX23" s="2"/>
      <c r="AY23" s="238"/>
      <c r="BB23" s="19"/>
      <c r="BC23" s="24"/>
      <c r="BG23" s="147" t="s">
        <v>3</v>
      </c>
      <c r="BH23" s="52">
        <f>Q12/1000</f>
        <v>20.892273653914785</v>
      </c>
      <c r="BI23" s="52">
        <f>AJ12/1000</f>
        <v>276.13050773722631</v>
      </c>
      <c r="BJ23" s="52">
        <f>BB12/1000</f>
        <v>0</v>
      </c>
      <c r="BK23" s="137">
        <f>SUM(BI23:BJ23)/BL23</f>
        <v>0.92966103961432389</v>
      </c>
      <c r="BL23" s="52">
        <f>SUM(BH23:BJ23)</f>
        <v>297.02278139114111</v>
      </c>
    </row>
    <row r="24" spans="1:67">
      <c r="A24" s="699"/>
      <c r="B24" s="23"/>
      <c r="C24" s="17" t="s">
        <v>27</v>
      </c>
      <c r="D24" s="57"/>
      <c r="E24" s="2"/>
      <c r="F24" s="2"/>
      <c r="G24" s="63"/>
      <c r="H24" s="2"/>
      <c r="I24" s="20"/>
      <c r="J24" s="21"/>
      <c r="K24" s="21"/>
      <c r="L24" s="22"/>
      <c r="M24" s="2"/>
      <c r="N24" s="23"/>
      <c r="O24" s="19"/>
      <c r="P24" s="19"/>
      <c r="Q24" s="19"/>
      <c r="R24" s="33"/>
      <c r="T24" s="57"/>
      <c r="U24" s="2"/>
      <c r="V24" s="2"/>
      <c r="W24" s="199">
        <f>SUMIF([2]ACT!$T$62:$T$98,C24,[2]ACT!$S$62:$S$98)</f>
        <v>1075.0782481751826</v>
      </c>
      <c r="X24" s="198"/>
      <c r="Y24" s="198"/>
      <c r="Z24" s="198"/>
      <c r="AA24" s="274"/>
      <c r="AB24" s="21"/>
      <c r="AC24" s="21"/>
      <c r="AD24" s="21"/>
      <c r="AE24" s="21"/>
      <c r="AF24" s="70"/>
      <c r="AG24" s="20"/>
      <c r="AH24" s="21"/>
      <c r="AI24" s="21"/>
      <c r="AJ24" s="22">
        <f t="shared" si="0"/>
        <v>1075.0782481751826</v>
      </c>
      <c r="AK24" s="29">
        <f>AJ24/[2]Popn!$B$43*1000</f>
        <v>2.9453089045965597</v>
      </c>
      <c r="AL24" s="19"/>
      <c r="AM24" s="57"/>
      <c r="AN24" s="2"/>
      <c r="AO24" s="2"/>
      <c r="AP24" s="63"/>
      <c r="AQ24" s="68"/>
      <c r="AR24" s="21"/>
      <c r="AS24" s="21"/>
      <c r="AT24" s="21"/>
      <c r="AU24" s="240"/>
      <c r="AV24" s="19"/>
      <c r="AW24" s="195"/>
      <c r="AX24" s="2"/>
      <c r="AY24" s="238"/>
      <c r="BB24" s="19"/>
      <c r="BC24" s="24"/>
      <c r="BG24" s="147" t="s">
        <v>4</v>
      </c>
      <c r="BH24" s="52">
        <f>Q16/1000</f>
        <v>8.3757910018799304</v>
      </c>
      <c r="BI24" s="52">
        <f>AJ16/1000</f>
        <v>4.9431062364963507</v>
      </c>
      <c r="BJ24" s="52">
        <f>BB16/1000</f>
        <v>0</v>
      </c>
      <c r="BK24" s="137">
        <f t="shared" ref="BK24:BK31" si="3">SUM(BI24:BJ24)/BL24</f>
        <v>0.37113479802618926</v>
      </c>
      <c r="BL24" s="52">
        <f t="shared" ref="BL24:BL31" si="4">SUM(BH24:BJ24)</f>
        <v>13.31889723837628</v>
      </c>
    </row>
    <row r="25" spans="1:67">
      <c r="A25" s="699"/>
      <c r="B25" s="23"/>
      <c r="C25" s="17" t="s">
        <v>28</v>
      </c>
      <c r="D25" s="57"/>
      <c r="E25" s="2"/>
      <c r="F25" s="2"/>
      <c r="G25" s="63"/>
      <c r="H25" s="2"/>
      <c r="I25" s="20"/>
      <c r="J25" s="21"/>
      <c r="K25" s="21"/>
      <c r="L25" s="22"/>
      <c r="M25" s="2"/>
      <c r="N25" s="23"/>
      <c r="O25" s="19"/>
      <c r="P25" s="19"/>
      <c r="Q25" s="19"/>
      <c r="R25" s="33"/>
      <c r="T25" s="57"/>
      <c r="U25" s="2"/>
      <c r="V25" s="2"/>
      <c r="W25" s="199"/>
      <c r="X25" s="198"/>
      <c r="Y25" s="198"/>
      <c r="Z25" s="198"/>
      <c r="AA25" s="274"/>
      <c r="AB25" s="21"/>
      <c r="AC25" s="21"/>
      <c r="AD25" s="21"/>
      <c r="AE25" s="21"/>
      <c r="AF25" s="70"/>
      <c r="AG25" s="20"/>
      <c r="AH25" s="21"/>
      <c r="AI25" s="21"/>
      <c r="AJ25" s="22"/>
      <c r="AK25" s="29"/>
      <c r="AL25" s="19"/>
      <c r="AM25" s="57"/>
      <c r="AN25" s="2"/>
      <c r="AO25" s="2"/>
      <c r="AP25" s="63"/>
      <c r="AQ25" s="68"/>
      <c r="AR25" s="21"/>
      <c r="AS25" s="21"/>
      <c r="AT25" s="21"/>
      <c r="AU25" s="240"/>
      <c r="AV25" s="19"/>
      <c r="AW25" s="195"/>
      <c r="AX25" s="2"/>
      <c r="AY25" s="238"/>
      <c r="BB25" s="19"/>
      <c r="BC25" s="24"/>
      <c r="BG25" s="147" t="s">
        <v>2</v>
      </c>
      <c r="BH25" s="52">
        <f>Q22/1000</f>
        <v>73.797147717449846</v>
      </c>
      <c r="BI25" s="52">
        <f>AJ22/1000</f>
        <v>327.17314519137472</v>
      </c>
      <c r="BJ25" s="52">
        <f>BB22/1000</f>
        <v>19.880605909833569</v>
      </c>
      <c r="BK25" s="137">
        <f t="shared" si="3"/>
        <v>0.82464776022909592</v>
      </c>
      <c r="BL25" s="52">
        <f t="shared" si="4"/>
        <v>420.8508988186581</v>
      </c>
    </row>
    <row r="26" spans="1:67">
      <c r="A26" s="699"/>
      <c r="B26" s="23"/>
      <c r="C26" s="17" t="s">
        <v>29</v>
      </c>
      <c r="D26" s="57"/>
      <c r="E26" s="2"/>
      <c r="F26" s="2"/>
      <c r="G26" s="63"/>
      <c r="H26" s="2"/>
      <c r="I26" s="20"/>
      <c r="J26" s="21"/>
      <c r="K26" s="21"/>
      <c r="L26" s="22"/>
      <c r="M26" s="2"/>
      <c r="N26" s="23"/>
      <c r="O26" s="19"/>
      <c r="P26" s="19"/>
      <c r="Q26" s="19"/>
      <c r="R26" s="33"/>
      <c r="T26" s="57"/>
      <c r="U26" s="2"/>
      <c r="V26" s="2"/>
      <c r="W26" s="199"/>
      <c r="X26" s="198"/>
      <c r="Y26" s="198"/>
      <c r="Z26" s="198"/>
      <c r="AA26" s="274"/>
      <c r="AB26" s="21"/>
      <c r="AC26" s="21"/>
      <c r="AD26" s="21"/>
      <c r="AE26" s="21"/>
      <c r="AF26" s="70"/>
      <c r="AG26" s="20"/>
      <c r="AH26" s="21"/>
      <c r="AI26" s="21"/>
      <c r="AJ26" s="22"/>
      <c r="AK26" s="29"/>
      <c r="AL26" s="19"/>
      <c r="AM26" s="57"/>
      <c r="AN26" s="2"/>
      <c r="AO26" s="2"/>
      <c r="AP26" s="63"/>
      <c r="AQ26" s="68"/>
      <c r="AR26" s="21"/>
      <c r="AS26" s="21"/>
      <c r="AT26" s="21"/>
      <c r="AU26" s="240"/>
      <c r="AV26" s="19"/>
      <c r="AW26" s="195"/>
      <c r="AX26" s="2"/>
      <c r="AY26" s="238"/>
      <c r="BB26" s="19"/>
      <c r="BC26" s="24"/>
      <c r="BG26" s="147" t="s">
        <v>5</v>
      </c>
      <c r="BH26" s="52">
        <f>Q27/1000</f>
        <v>34.049915507305826</v>
      </c>
      <c r="BI26" s="52">
        <f>AJ27/1000</f>
        <v>51.019616350364963</v>
      </c>
      <c r="BJ26" s="52">
        <f>BB27/1000</f>
        <v>6.5345082422702285</v>
      </c>
      <c r="BK26" s="137">
        <f t="shared" si="3"/>
        <v>0.6282924260746906</v>
      </c>
      <c r="BL26" s="52">
        <f t="shared" si="4"/>
        <v>91.604040099941031</v>
      </c>
    </row>
    <row r="27" spans="1:67" s="106" customFormat="1">
      <c r="A27" s="699"/>
      <c r="B27" s="107" t="s">
        <v>67</v>
      </c>
      <c r="C27" s="108"/>
      <c r="D27" s="109"/>
      <c r="E27" s="110"/>
      <c r="F27" s="110"/>
      <c r="G27" s="63"/>
      <c r="H27" s="110"/>
      <c r="I27" s="112">
        <f>D50*[2]ACT!$J$784</f>
        <v>10328.524147585238</v>
      </c>
      <c r="J27" s="113">
        <f>(E$50-G$46)*[2]ACT!$J$675</f>
        <v>27454.203485401456</v>
      </c>
      <c r="K27" s="113">
        <f>F50*[2]ACT!$J$690</f>
        <v>2801.6961165893631</v>
      </c>
      <c r="L27" s="114">
        <f>SUM(I27:K27)</f>
        <v>40584.423749576061</v>
      </c>
      <c r="M27" s="110"/>
      <c r="N27" s="112">
        <f>I27-AU27</f>
        <v>8665.5258852632833</v>
      </c>
      <c r="O27" s="113">
        <f>J27-AV27</f>
        <v>23033.795299559126</v>
      </c>
      <c r="P27" s="113">
        <f>K27-AW27</f>
        <v>2350.5943224834182</v>
      </c>
      <c r="Q27" s="114">
        <f>SUM(N27:P27)</f>
        <v>34049.915507305828</v>
      </c>
      <c r="R27" s="115">
        <f>Q27/[2]Popn!$B$43*1000</f>
        <v>93.283925625557472</v>
      </c>
      <c r="T27" s="109"/>
      <c r="U27" s="110"/>
      <c r="V27" s="110"/>
      <c r="W27" s="203">
        <f>SUMIF([2]ACT!$U$62:$U$98,B23,[2]ACT!$S$62:$S$98)</f>
        <v>51019.616350364966</v>
      </c>
      <c r="X27" s="130"/>
      <c r="Y27" s="130"/>
      <c r="Z27" s="130"/>
      <c r="AA27" s="276"/>
      <c r="AB27" s="113"/>
      <c r="AC27" s="113"/>
      <c r="AD27" s="113"/>
      <c r="AE27" s="113"/>
      <c r="AF27" s="117"/>
      <c r="AG27" s="112"/>
      <c r="AH27" s="113"/>
      <c r="AI27" s="113"/>
      <c r="AJ27" s="114">
        <f t="shared" si="0"/>
        <v>51019.616350364966</v>
      </c>
      <c r="AK27" s="118">
        <f>AJ27/[2]Popn!$B$43*1000</f>
        <v>139.77450534497663</v>
      </c>
      <c r="AL27" s="119"/>
      <c r="AM27" s="109"/>
      <c r="AN27" s="110"/>
      <c r="AO27" s="110"/>
      <c r="AP27" s="111"/>
      <c r="AQ27" s="117"/>
      <c r="AR27" s="113">
        <f>L27*'[2]Lfill en &amp; composn'!$D$17</f>
        <v>7954.5470549169086</v>
      </c>
      <c r="AS27" s="123">
        <f>AR27/SUM($AR$7:$AR$49)</f>
        <v>0.34272977050883563</v>
      </c>
      <c r="AT27" s="113">
        <f>AS27*'[2]Lfill en &amp; composn'!$B$64/'[2]Lfill en &amp; composn'!$B$17</f>
        <v>6534.5082422702289</v>
      </c>
      <c r="AU27" s="120">
        <f>$AT27*I27/SUM($I27:$K27)</f>
        <v>1662.9982623219539</v>
      </c>
      <c r="AV27" s="113">
        <f>$AT27*J27/SUM($I27:$K27)</f>
        <v>4420.4081858423297</v>
      </c>
      <c r="AW27" s="114">
        <f>$AT27*K27/SUM($I27:$K27)</f>
        <v>451.10179410594503</v>
      </c>
      <c r="AX27" s="110"/>
      <c r="AY27" s="241">
        <f>AU27</f>
        <v>1662.9982623219539</v>
      </c>
      <c r="AZ27" s="242">
        <f>AV27</f>
        <v>4420.4081858423297</v>
      </c>
      <c r="BA27" s="242">
        <f>AW27</f>
        <v>451.10179410594503</v>
      </c>
      <c r="BB27" s="114">
        <f>AT27+AP27</f>
        <v>6534.5082422702289</v>
      </c>
      <c r="BC27" s="118">
        <f>BB27/[2]Popn!$B$43*1000</f>
        <v>17.902087913866886</v>
      </c>
      <c r="BD27" s="122"/>
      <c r="BG27" s="147" t="s">
        <v>6</v>
      </c>
      <c r="BH27" s="52">
        <f>Q37/1000</f>
        <v>28.557372066136018</v>
      </c>
      <c r="BI27" s="52">
        <f>AJ37/1000</f>
        <v>2.0739999999999998</v>
      </c>
      <c r="BJ27" s="52">
        <f>BB37/1000</f>
        <v>0</v>
      </c>
      <c r="BK27" s="137">
        <f t="shared" si="3"/>
        <v>6.7708361072499085E-2</v>
      </c>
      <c r="BL27" s="52">
        <f t="shared" si="4"/>
        <v>30.631372066136016</v>
      </c>
      <c r="BM27" s="6"/>
      <c r="BN27" s="6"/>
      <c r="BO27" s="6"/>
    </row>
    <row r="28" spans="1:67">
      <c r="A28" s="699"/>
      <c r="B28" s="23" t="s">
        <v>6</v>
      </c>
      <c r="C28" s="17" t="s">
        <v>30</v>
      </c>
      <c r="D28" s="57"/>
      <c r="E28" s="2"/>
      <c r="F28" s="2"/>
      <c r="G28" s="63"/>
      <c r="H28" s="2"/>
      <c r="I28" s="112"/>
      <c r="J28" s="113"/>
      <c r="K28" s="113"/>
      <c r="L28" s="22"/>
      <c r="M28" s="2"/>
      <c r="N28" s="23"/>
      <c r="O28" s="19"/>
      <c r="P28" s="19"/>
      <c r="Q28" s="19"/>
      <c r="R28" s="33"/>
      <c r="T28" s="57"/>
      <c r="U28" s="2"/>
      <c r="V28" s="2"/>
      <c r="W28" s="199">
        <f>SUMIF([2]ACT!$T$62:$T$98,C28,[2]ACT!$S$62:$S$98)</f>
        <v>533.70992700729937</v>
      </c>
      <c r="X28" s="198"/>
      <c r="Y28" s="198"/>
      <c r="Z28" s="198"/>
      <c r="AA28" s="274"/>
      <c r="AB28" s="21"/>
      <c r="AC28" s="21"/>
      <c r="AD28" s="21"/>
      <c r="AE28" s="21"/>
      <c r="AF28" s="70"/>
      <c r="AG28" s="20"/>
      <c r="AH28" s="21"/>
      <c r="AI28" s="21"/>
      <c r="AJ28" s="22">
        <f t="shared" si="0"/>
        <v>533.70992700729937</v>
      </c>
      <c r="AK28" s="29">
        <f>AJ28/[2]Popn!$B$43*1000</f>
        <v>1.4621638965855379</v>
      </c>
      <c r="AL28" s="19"/>
      <c r="AM28" s="57"/>
      <c r="AN28" s="2"/>
      <c r="AO28" s="2"/>
      <c r="AP28" s="63"/>
      <c r="AQ28" s="68"/>
      <c r="AR28" s="21"/>
      <c r="AS28" s="21"/>
      <c r="AT28" s="21"/>
      <c r="AU28" s="240"/>
      <c r="AV28" s="19"/>
      <c r="AW28" s="195"/>
      <c r="AX28" s="2"/>
      <c r="AY28" s="238"/>
      <c r="BB28" s="19"/>
      <c r="BC28" s="24"/>
      <c r="BG28" s="147" t="s">
        <v>8</v>
      </c>
      <c r="BH28" s="52">
        <f>Q38/1000</f>
        <v>7.3865737472255315</v>
      </c>
      <c r="BI28" s="52">
        <f>AJ38/1000</f>
        <v>14.773621167883212</v>
      </c>
      <c r="BJ28" s="52">
        <f>BB38/1000</f>
        <v>0</v>
      </c>
      <c r="BK28" s="137">
        <f t="shared" si="3"/>
        <v>0.66667379165562346</v>
      </c>
      <c r="BL28" s="52">
        <f t="shared" si="4"/>
        <v>22.160194915108743</v>
      </c>
    </row>
    <row r="29" spans="1:67">
      <c r="A29" s="699"/>
      <c r="B29" s="23"/>
      <c r="C29" s="17" t="s">
        <v>31</v>
      </c>
      <c r="D29" s="57"/>
      <c r="E29" s="2"/>
      <c r="F29" s="2"/>
      <c r="G29" s="63"/>
      <c r="H29" s="2"/>
      <c r="I29" s="20"/>
      <c r="J29" s="21"/>
      <c r="K29" s="21"/>
      <c r="L29" s="22"/>
      <c r="M29" s="2"/>
      <c r="N29" s="23"/>
      <c r="O29" s="19"/>
      <c r="P29" s="19"/>
      <c r="Q29" s="19"/>
      <c r="R29" s="33"/>
      <c r="T29" s="57"/>
      <c r="U29" s="2"/>
      <c r="V29" s="2"/>
      <c r="W29" s="199">
        <f>SUMIF([2]ACT!$T$62:$T$98,C29,[2]ACT!$S$62:$S$98)</f>
        <v>630.75781021897808</v>
      </c>
      <c r="X29" s="198"/>
      <c r="Y29" s="198"/>
      <c r="Z29" s="198"/>
      <c r="AA29" s="274"/>
      <c r="AB29" s="21"/>
      <c r="AC29" s="21"/>
      <c r="AD29" s="21"/>
      <c r="AE29" s="21"/>
      <c r="AF29" s="70"/>
      <c r="AG29" s="20"/>
      <c r="AH29" s="21"/>
      <c r="AI29" s="21"/>
      <c r="AJ29" s="22">
        <f t="shared" si="0"/>
        <v>630.75781021897808</v>
      </c>
      <c r="AK29" s="29">
        <f>AJ29/[2]Popn!$B$43*1000</f>
        <v>1.7280384923005723</v>
      </c>
      <c r="AL29" s="19"/>
      <c r="AM29" s="57"/>
      <c r="AN29" s="2"/>
      <c r="AO29" s="2"/>
      <c r="AP29" s="63"/>
      <c r="AQ29" s="68"/>
      <c r="AR29" s="21"/>
      <c r="AS29" s="21"/>
      <c r="AT29" s="21"/>
      <c r="AU29" s="240"/>
      <c r="AV29" s="19"/>
      <c r="AW29" s="195"/>
      <c r="AX29" s="2"/>
      <c r="AY29" s="238"/>
      <c r="BB29" s="19"/>
      <c r="BC29" s="24"/>
      <c r="BG29" s="147" t="s">
        <v>7</v>
      </c>
      <c r="BH29" s="52">
        <f>Q41/1000</f>
        <v>24.722904739729731</v>
      </c>
      <c r="BI29" s="52">
        <f>AJ41/1000</f>
        <v>1.2277563503649636</v>
      </c>
      <c r="BJ29" s="52">
        <f>BB41/1000</f>
        <v>4.8604284650190364</v>
      </c>
      <c r="BK29" s="137">
        <f t="shared" si="3"/>
        <v>0.19759719319544614</v>
      </c>
      <c r="BL29" s="52">
        <f t="shared" si="4"/>
        <v>30.811089555113732</v>
      </c>
    </row>
    <row r="30" spans="1:67">
      <c r="A30" s="699"/>
      <c r="B30" s="23"/>
      <c r="C30" s="17" t="s">
        <v>32</v>
      </c>
      <c r="D30" s="57"/>
      <c r="E30" s="2"/>
      <c r="F30" s="2"/>
      <c r="G30" s="63"/>
      <c r="H30" s="2"/>
      <c r="I30" s="20"/>
      <c r="J30" s="21"/>
      <c r="K30" s="21"/>
      <c r="L30" s="22"/>
      <c r="M30" s="2"/>
      <c r="N30" s="23"/>
      <c r="O30" s="19"/>
      <c r="P30" s="19"/>
      <c r="Q30" s="19"/>
      <c r="R30" s="33"/>
      <c r="T30" s="57"/>
      <c r="U30" s="2"/>
      <c r="V30" s="2"/>
      <c r="W30" s="199"/>
      <c r="X30" s="198"/>
      <c r="Y30" s="198"/>
      <c r="Z30" s="198"/>
      <c r="AA30" s="274"/>
      <c r="AB30" s="21"/>
      <c r="AC30" s="21"/>
      <c r="AD30" s="21"/>
      <c r="AE30" s="21"/>
      <c r="AF30" s="70"/>
      <c r="AG30" s="20"/>
      <c r="AH30" s="21"/>
      <c r="AI30" s="21"/>
      <c r="AJ30" s="22"/>
      <c r="AK30" s="29"/>
      <c r="AL30" s="19"/>
      <c r="AM30" s="57"/>
      <c r="AN30" s="2"/>
      <c r="AO30" s="2"/>
      <c r="AP30" s="63"/>
      <c r="AQ30" s="68"/>
      <c r="AR30" s="21"/>
      <c r="AS30" s="21"/>
      <c r="AT30" s="21"/>
      <c r="AU30" s="240"/>
      <c r="AV30" s="19"/>
      <c r="AW30" s="195"/>
      <c r="AX30" s="2"/>
      <c r="AY30" s="238"/>
      <c r="BB30" s="19"/>
      <c r="BC30" s="24"/>
      <c r="BG30" s="147" t="s">
        <v>11</v>
      </c>
      <c r="BH30" s="52">
        <f>Q46/1000</f>
        <v>0.72306024397560231</v>
      </c>
      <c r="BI30" s="52">
        <f>AJ46/1000</f>
        <v>0</v>
      </c>
      <c r="BJ30" s="52">
        <f>BB46/1000</f>
        <v>0</v>
      </c>
      <c r="BK30" s="137">
        <f t="shared" si="3"/>
        <v>0</v>
      </c>
      <c r="BL30" s="52">
        <f t="shared" si="4"/>
        <v>0.72306024397560231</v>
      </c>
    </row>
    <row r="31" spans="1:67" s="90" customFormat="1">
      <c r="A31" s="699"/>
      <c r="B31" s="91" t="s">
        <v>42</v>
      </c>
      <c r="C31" s="92"/>
      <c r="D31" s="93"/>
      <c r="E31" s="94"/>
      <c r="F31" s="94"/>
      <c r="G31" s="63"/>
      <c r="H31" s="94"/>
      <c r="I31" s="96"/>
      <c r="J31" s="97"/>
      <c r="K31" s="97"/>
      <c r="L31" s="98"/>
      <c r="M31" s="94"/>
      <c r="N31" s="96"/>
      <c r="O31" s="97"/>
      <c r="P31" s="97"/>
      <c r="Q31" s="97"/>
      <c r="R31" s="99"/>
      <c r="T31" s="93"/>
      <c r="U31" s="94"/>
      <c r="V31" s="94"/>
      <c r="W31" s="199"/>
      <c r="X31" s="289"/>
      <c r="Y31" s="289"/>
      <c r="Z31" s="289"/>
      <c r="AA31" s="280"/>
      <c r="AB31" s="97"/>
      <c r="AC31" s="97"/>
      <c r="AD31" s="97"/>
      <c r="AE31" s="97"/>
      <c r="AF31" s="101"/>
      <c r="AG31" s="96"/>
      <c r="AH31" s="97"/>
      <c r="AI31" s="97"/>
      <c r="AJ31" s="98"/>
      <c r="AK31" s="102"/>
      <c r="AL31" s="103"/>
      <c r="AM31" s="93"/>
      <c r="AN31" s="94"/>
      <c r="AO31" s="94"/>
      <c r="AP31" s="95"/>
      <c r="AQ31" s="100"/>
      <c r="AR31" s="97"/>
      <c r="AS31" s="128"/>
      <c r="AT31" s="128"/>
      <c r="AU31" s="104"/>
      <c r="AV31" s="97"/>
      <c r="AW31" s="98"/>
      <c r="AX31" s="94"/>
      <c r="AY31" s="239"/>
      <c r="BB31" s="97"/>
      <c r="BC31" s="105"/>
      <c r="BG31" s="147" t="s">
        <v>1</v>
      </c>
      <c r="BH31" s="52">
        <f>Q47/1000</f>
        <v>0</v>
      </c>
      <c r="BI31" s="52">
        <f>AJ47/1000</f>
        <v>0</v>
      </c>
      <c r="BJ31" s="52">
        <f>BB47/1000</f>
        <v>0</v>
      </c>
      <c r="BK31" s="137" t="e">
        <f t="shared" si="3"/>
        <v>#DIV/0!</v>
      </c>
      <c r="BL31" s="52">
        <f t="shared" si="4"/>
        <v>0</v>
      </c>
      <c r="BM31" s="6"/>
      <c r="BN31" s="6"/>
      <c r="BO31" s="6"/>
    </row>
    <row r="32" spans="1:67">
      <c r="A32" s="699"/>
      <c r="B32" s="23"/>
      <c r="C32" s="17" t="s">
        <v>33</v>
      </c>
      <c r="D32" s="57"/>
      <c r="E32" s="2"/>
      <c r="F32" s="2"/>
      <c r="G32" s="63"/>
      <c r="H32" s="2"/>
      <c r="I32" s="20"/>
      <c r="J32" s="21"/>
      <c r="K32" s="21"/>
      <c r="L32" s="22"/>
      <c r="M32" s="2"/>
      <c r="N32" s="23"/>
      <c r="O32" s="19"/>
      <c r="P32" s="19"/>
      <c r="Q32" s="19"/>
      <c r="R32" s="33"/>
      <c r="T32" s="57"/>
      <c r="U32" s="2"/>
      <c r="V32" s="2"/>
      <c r="W32" s="199"/>
      <c r="X32" s="198"/>
      <c r="Y32" s="198"/>
      <c r="Z32" s="198"/>
      <c r="AA32" s="274"/>
      <c r="AB32" s="21"/>
      <c r="AC32" s="21"/>
      <c r="AD32" s="21"/>
      <c r="AE32" s="21"/>
      <c r="AF32" s="70"/>
      <c r="AG32" s="20"/>
      <c r="AH32" s="21"/>
      <c r="AI32" s="21"/>
      <c r="AJ32" s="22"/>
      <c r="AK32" s="29"/>
      <c r="AL32" s="19"/>
      <c r="AM32" s="57"/>
      <c r="AN32" s="2"/>
      <c r="AO32" s="2"/>
      <c r="AP32" s="63"/>
      <c r="AQ32" s="68"/>
      <c r="AR32" s="21"/>
      <c r="AS32" s="21"/>
      <c r="AT32" s="21"/>
      <c r="AU32" s="240"/>
      <c r="AV32" s="19"/>
      <c r="AW32" s="195"/>
      <c r="AX32" s="2"/>
      <c r="AY32" s="238"/>
      <c r="BB32" s="19"/>
      <c r="BC32" s="24"/>
      <c r="BG32" s="142"/>
    </row>
    <row r="33" spans="1:81">
      <c r="A33" s="699"/>
      <c r="B33" s="23"/>
      <c r="C33" s="17" t="s">
        <v>34</v>
      </c>
      <c r="D33" s="57"/>
      <c r="E33" s="2"/>
      <c r="F33" s="2"/>
      <c r="G33" s="63"/>
      <c r="H33" s="2"/>
      <c r="I33" s="20"/>
      <c r="J33" s="21"/>
      <c r="K33" s="21"/>
      <c r="L33" s="22"/>
      <c r="M33" s="2"/>
      <c r="N33" s="23"/>
      <c r="O33" s="19"/>
      <c r="P33" s="19"/>
      <c r="Q33" s="19"/>
      <c r="R33" s="33"/>
      <c r="T33" s="57"/>
      <c r="U33" s="2"/>
      <c r="V33" s="2"/>
      <c r="W33" s="199"/>
      <c r="X33" s="198"/>
      <c r="Y33" s="198"/>
      <c r="Z33" s="198"/>
      <c r="AA33" s="274"/>
      <c r="AB33" s="21"/>
      <c r="AC33" s="21"/>
      <c r="AD33" s="21"/>
      <c r="AE33" s="21"/>
      <c r="AF33" s="70"/>
      <c r="AG33" s="20"/>
      <c r="AH33" s="21"/>
      <c r="AI33" s="21"/>
      <c r="AJ33" s="22"/>
      <c r="AK33" s="29"/>
      <c r="AL33" s="19"/>
      <c r="AM33" s="57"/>
      <c r="AN33" s="2"/>
      <c r="AO33" s="2"/>
      <c r="AP33" s="63"/>
      <c r="AQ33" s="68"/>
      <c r="AR33" s="21"/>
      <c r="AS33" s="21"/>
      <c r="AT33" s="21"/>
      <c r="AU33" s="240"/>
      <c r="AV33" s="19"/>
      <c r="AW33" s="195"/>
      <c r="AX33" s="2"/>
      <c r="AY33" s="238"/>
      <c r="BB33" s="19"/>
      <c r="BC33" s="24"/>
    </row>
    <row r="34" spans="1:81">
      <c r="A34" s="699"/>
      <c r="B34" s="23"/>
      <c r="C34" s="17" t="s">
        <v>35</v>
      </c>
      <c r="D34" s="57"/>
      <c r="E34" s="2"/>
      <c r="F34" s="2"/>
      <c r="G34" s="63"/>
      <c r="H34" s="2"/>
      <c r="I34" s="20"/>
      <c r="J34" s="21"/>
      <c r="K34" s="21"/>
      <c r="L34" s="22"/>
      <c r="M34" s="2"/>
      <c r="N34" s="23"/>
      <c r="O34" s="19"/>
      <c r="P34" s="19"/>
      <c r="Q34" s="19"/>
      <c r="R34" s="33"/>
      <c r="T34" s="57"/>
      <c r="U34" s="2"/>
      <c r="V34" s="2"/>
      <c r="W34" s="199"/>
      <c r="X34" s="198"/>
      <c r="Y34" s="198"/>
      <c r="Z34" s="198"/>
      <c r="AA34" s="274"/>
      <c r="AB34" s="21"/>
      <c r="AC34" s="21"/>
      <c r="AD34" s="21"/>
      <c r="AE34" s="21"/>
      <c r="AF34" s="70"/>
      <c r="AG34" s="20"/>
      <c r="AH34" s="21"/>
      <c r="AI34" s="21"/>
      <c r="AJ34" s="22"/>
      <c r="AK34" s="29"/>
      <c r="AL34" s="19"/>
      <c r="AM34" s="57"/>
      <c r="AN34" s="2"/>
      <c r="AO34" s="2"/>
      <c r="AP34" s="63"/>
      <c r="AQ34" s="68"/>
      <c r="AR34" s="21"/>
      <c r="AS34" s="21"/>
      <c r="AT34" s="21"/>
      <c r="AU34" s="240"/>
      <c r="AV34" s="19"/>
      <c r="AW34" s="195"/>
      <c r="AX34" s="2"/>
      <c r="AY34" s="238"/>
      <c r="BB34" s="19"/>
      <c r="BC34" s="24"/>
    </row>
    <row r="35" spans="1:81">
      <c r="A35" s="699"/>
      <c r="B35" s="23"/>
      <c r="C35" s="17" t="s">
        <v>36</v>
      </c>
      <c r="D35" s="57"/>
      <c r="E35" s="2"/>
      <c r="F35" s="2"/>
      <c r="G35" s="63"/>
      <c r="H35" s="2"/>
      <c r="I35" s="20"/>
      <c r="J35" s="21"/>
      <c r="K35" s="21"/>
      <c r="L35" s="22"/>
      <c r="M35" s="2"/>
      <c r="N35" s="23"/>
      <c r="O35" s="19"/>
      <c r="P35" s="19"/>
      <c r="Q35" s="19"/>
      <c r="R35" s="33"/>
      <c r="T35" s="57"/>
      <c r="U35" s="2"/>
      <c r="V35" s="2"/>
      <c r="W35" s="199"/>
      <c r="X35" s="198"/>
      <c r="Y35" s="198"/>
      <c r="Z35" s="198"/>
      <c r="AA35" s="274"/>
      <c r="AB35" s="21"/>
      <c r="AC35" s="21"/>
      <c r="AD35" s="21"/>
      <c r="AE35" s="21"/>
      <c r="AF35" s="70"/>
      <c r="AG35" s="20"/>
      <c r="AH35" s="21"/>
      <c r="AI35" s="21"/>
      <c r="AJ35" s="22"/>
      <c r="AK35" s="29"/>
      <c r="AL35" s="19"/>
      <c r="AM35" s="57"/>
      <c r="AN35" s="2"/>
      <c r="AO35" s="2"/>
      <c r="AP35" s="63"/>
      <c r="AQ35" s="68"/>
      <c r="AR35" s="21"/>
      <c r="AS35" s="21"/>
      <c r="AT35" s="21"/>
      <c r="AU35" s="240"/>
      <c r="AV35" s="19"/>
      <c r="AW35" s="195"/>
      <c r="AX35" s="2"/>
      <c r="AY35" s="238"/>
      <c r="BB35" s="19"/>
      <c r="BC35" s="24"/>
    </row>
    <row r="36" spans="1:81" s="90" customFormat="1">
      <c r="A36" s="699"/>
      <c r="B36" s="91" t="s">
        <v>43</v>
      </c>
      <c r="C36" s="92"/>
      <c r="D36" s="93"/>
      <c r="E36" s="94"/>
      <c r="F36" s="94"/>
      <c r="G36" s="63"/>
      <c r="H36" s="94"/>
      <c r="I36" s="96"/>
      <c r="J36" s="97"/>
      <c r="K36" s="97"/>
      <c r="L36" s="98"/>
      <c r="M36" s="94"/>
      <c r="N36" s="96"/>
      <c r="O36" s="97"/>
      <c r="P36" s="97"/>
      <c r="Q36" s="97"/>
      <c r="R36" s="99"/>
      <c r="T36" s="93"/>
      <c r="U36" s="94"/>
      <c r="V36" s="94"/>
      <c r="W36" s="199"/>
      <c r="X36" s="289"/>
      <c r="Y36" s="289"/>
      <c r="Z36" s="289"/>
      <c r="AA36" s="280"/>
      <c r="AB36" s="97"/>
      <c r="AC36" s="97"/>
      <c r="AD36" s="97"/>
      <c r="AE36" s="97"/>
      <c r="AF36" s="101"/>
      <c r="AG36" s="96"/>
      <c r="AH36" s="97"/>
      <c r="AI36" s="97"/>
      <c r="AJ36" s="98"/>
      <c r="AK36" s="102"/>
      <c r="AL36" s="103"/>
      <c r="AM36" s="93"/>
      <c r="AN36" s="94"/>
      <c r="AO36" s="94"/>
      <c r="AP36" s="95"/>
      <c r="AQ36" s="100"/>
      <c r="AR36" s="97"/>
      <c r="AS36" s="97"/>
      <c r="AT36" s="97"/>
      <c r="AU36" s="104"/>
      <c r="AV36" s="97"/>
      <c r="AW36" s="98"/>
      <c r="AX36" s="94"/>
      <c r="AY36" s="239"/>
      <c r="BB36" s="97"/>
      <c r="BC36" s="105"/>
      <c r="BG36" s="143"/>
    </row>
    <row r="37" spans="1:81" s="106" customFormat="1">
      <c r="A37" s="699"/>
      <c r="B37" s="107" t="s">
        <v>67</v>
      </c>
      <c r="C37" s="108"/>
      <c r="D37" s="109"/>
      <c r="E37" s="110"/>
      <c r="F37" s="110"/>
      <c r="G37" s="63"/>
      <c r="H37" s="110"/>
      <c r="I37" s="112">
        <f>D50*[2]ACT!$J$785</f>
        <v>8679.4320567943178</v>
      </c>
      <c r="J37" s="113">
        <f>(E$50-G$46)*[2]ACT!$J$676</f>
        <v>17231.893677007301</v>
      </c>
      <c r="K37" s="113">
        <f>F50*[2]ACT!$J$691</f>
        <v>2646.0463323343984</v>
      </c>
      <c r="L37" s="114">
        <f>SUM(I37:K37)</f>
        <v>28557.372066136017</v>
      </c>
      <c r="M37" s="110"/>
      <c r="N37" s="112">
        <f t="shared" ref="N37:P38" si="5">I37-AU37</f>
        <v>8679.4320567943178</v>
      </c>
      <c r="O37" s="113">
        <f t="shared" si="5"/>
        <v>17231.893677007301</v>
      </c>
      <c r="P37" s="113">
        <f t="shared" si="5"/>
        <v>2646.0463323343984</v>
      </c>
      <c r="Q37" s="114">
        <f>SUM(N37:P37)</f>
        <v>28557.372066136017</v>
      </c>
      <c r="R37" s="115">
        <f>Q37/[2]Popn!$B$43*1000</f>
        <v>78.236428260951854</v>
      </c>
      <c r="T37" s="109"/>
      <c r="U37" s="110"/>
      <c r="V37" s="110"/>
      <c r="W37" s="203"/>
      <c r="X37" s="130">
        <f>[2]PACIA!$C$19*[2]PACIA!D$19</f>
        <v>1329.434</v>
      </c>
      <c r="Y37" s="130">
        <f>[2]PACIA!$C$19*[2]PACIA!E$19</f>
        <v>744.56599999999992</v>
      </c>
      <c r="Z37" s="130">
        <f>[2]PACIA!$C$19*[2]PACIA!F$19</f>
        <v>0</v>
      </c>
      <c r="AA37" s="276"/>
      <c r="AB37" s="113"/>
      <c r="AC37" s="113"/>
      <c r="AD37" s="113"/>
      <c r="AE37" s="113"/>
      <c r="AF37" s="117"/>
      <c r="AG37" s="112"/>
      <c r="AH37" s="113"/>
      <c r="AI37" s="113"/>
      <c r="AJ37" s="114">
        <f>SUM(X37:Z37)</f>
        <v>2074</v>
      </c>
      <c r="AK37" s="118">
        <f>AJ37/[2]Popn!$B$43*1000</f>
        <v>5.6819777337155104</v>
      </c>
      <c r="AL37" s="119"/>
      <c r="AM37" s="109"/>
      <c r="AN37" s="110"/>
      <c r="AO37" s="110"/>
      <c r="AP37" s="111"/>
      <c r="AQ37" s="116"/>
      <c r="AR37" s="113"/>
      <c r="AS37" s="113"/>
      <c r="AT37" s="113"/>
      <c r="AU37" s="120"/>
      <c r="AV37" s="113"/>
      <c r="AW37" s="114"/>
      <c r="AX37" s="110"/>
      <c r="AY37" s="237"/>
      <c r="BB37" s="113"/>
      <c r="BC37" s="118"/>
      <c r="BG37" s="144"/>
    </row>
    <row r="38" spans="1:81" s="106" customFormat="1">
      <c r="A38" s="699"/>
      <c r="B38" s="37" t="s">
        <v>8</v>
      </c>
      <c r="C38" s="129" t="s">
        <v>8</v>
      </c>
      <c r="D38" s="109"/>
      <c r="E38" s="110"/>
      <c r="F38" s="110"/>
      <c r="G38" s="63"/>
      <c r="H38" s="110"/>
      <c r="I38" s="112">
        <f>D50*[2]ACT!$J$786</f>
        <v>3298.1841815818407</v>
      </c>
      <c r="J38" s="113">
        <f>(E$50-G$46)*[2]ACT!$J$677</f>
        <v>3387.9655364963501</v>
      </c>
      <c r="K38" s="113">
        <f>F50*[2]ACT!$J$692</f>
        <v>700.42402914734078</v>
      </c>
      <c r="L38" s="114">
        <f>SUM(I38:K38)</f>
        <v>7386.5737472255314</v>
      </c>
      <c r="M38" s="110"/>
      <c r="N38" s="112">
        <f t="shared" si="5"/>
        <v>3298.1841815818407</v>
      </c>
      <c r="O38" s="113">
        <f t="shared" si="5"/>
        <v>3387.9655364963501</v>
      </c>
      <c r="P38" s="113">
        <f t="shared" si="5"/>
        <v>700.42402914734078</v>
      </c>
      <c r="Q38" s="114">
        <f>SUM(N38:P38)</f>
        <v>7386.5737472255314</v>
      </c>
      <c r="R38" s="115">
        <f>Q38/[2]Popn!$B$43*1000</f>
        <v>20.236426017446004</v>
      </c>
      <c r="T38" s="202"/>
      <c r="U38" s="130"/>
      <c r="V38" s="130"/>
      <c r="W38" s="203">
        <f>SUMIF([2]ACT!$T$62:$T$98,C38,[2]ACT!$S$62:$S$98)</f>
        <v>14773.621167883211</v>
      </c>
      <c r="X38" s="130"/>
      <c r="Y38" s="130"/>
      <c r="Z38" s="130"/>
      <c r="AA38" s="276"/>
      <c r="AB38" s="113"/>
      <c r="AC38" s="113"/>
      <c r="AD38" s="113"/>
      <c r="AE38" s="113"/>
      <c r="AF38" s="117"/>
      <c r="AG38" s="112"/>
      <c r="AH38" s="113"/>
      <c r="AI38" s="113"/>
      <c r="AJ38" s="114">
        <f t="shared" si="0"/>
        <v>14773.621167883211</v>
      </c>
      <c r="AK38" s="118">
        <f>AJ38/[2]Popn!$B$43*1000</f>
        <v>40.474149721437101</v>
      </c>
      <c r="AL38" s="119"/>
      <c r="AM38" s="109"/>
      <c r="AN38" s="110"/>
      <c r="AO38" s="110"/>
      <c r="AP38" s="111"/>
      <c r="AQ38" s="116"/>
      <c r="AR38" s="113"/>
      <c r="AS38" s="113"/>
      <c r="AT38" s="113"/>
      <c r="AU38" s="120"/>
      <c r="AV38" s="113"/>
      <c r="AW38" s="114"/>
      <c r="AX38" s="110"/>
      <c r="AY38" s="237"/>
      <c r="BB38" s="113"/>
      <c r="BC38" s="121"/>
      <c r="BG38" s="144"/>
    </row>
    <row r="39" spans="1:81">
      <c r="A39" s="699"/>
      <c r="B39" s="23" t="s">
        <v>7</v>
      </c>
      <c r="C39" s="17" t="s">
        <v>9</v>
      </c>
      <c r="D39" s="57"/>
      <c r="E39" s="2"/>
      <c r="F39" s="2"/>
      <c r="G39" s="63"/>
      <c r="H39" s="2"/>
      <c r="I39" s="112"/>
      <c r="J39" s="113"/>
      <c r="K39" s="113"/>
      <c r="L39" s="22"/>
      <c r="M39" s="2"/>
      <c r="N39" s="20"/>
      <c r="O39" s="21"/>
      <c r="P39" s="21"/>
      <c r="Q39" s="22"/>
      <c r="R39" s="34"/>
      <c r="T39" s="57"/>
      <c r="U39" s="2"/>
      <c r="V39" s="2"/>
      <c r="W39" s="199">
        <f>SUMIF([2]ACT!$T$62:$T$98,C39,[2]ACT!$S$62:$S$98)</f>
        <v>1122.9343065693431</v>
      </c>
      <c r="X39" s="198"/>
      <c r="Y39" s="198"/>
      <c r="Z39" s="198"/>
      <c r="AA39" s="274"/>
      <c r="AB39" s="21"/>
      <c r="AC39" s="21"/>
      <c r="AD39" s="21"/>
      <c r="AE39" s="21"/>
      <c r="AF39" s="70"/>
      <c r="AG39" s="20"/>
      <c r="AH39" s="21"/>
      <c r="AI39" s="21"/>
      <c r="AJ39" s="22">
        <f t="shared" si="0"/>
        <v>1122.9343065693431</v>
      </c>
      <c r="AK39" s="29">
        <f>AJ39/[2]Popn!$B$43*1000</f>
        <v>3.0764164543646455</v>
      </c>
      <c r="AL39" s="19"/>
      <c r="AM39" s="57"/>
      <c r="AN39" s="2"/>
      <c r="AO39" s="2"/>
      <c r="AP39" s="63"/>
      <c r="AQ39" s="68"/>
      <c r="AR39" s="21"/>
      <c r="AS39" s="35"/>
      <c r="AT39" s="21"/>
      <c r="AU39" s="25"/>
      <c r="AV39" s="21"/>
      <c r="AW39" s="22"/>
      <c r="AX39" s="2"/>
      <c r="AY39" s="238"/>
      <c r="BB39" s="21"/>
      <c r="BC39" s="29"/>
    </row>
    <row r="40" spans="1:81">
      <c r="A40" s="699"/>
      <c r="B40" s="23"/>
      <c r="C40" s="17" t="s">
        <v>10</v>
      </c>
      <c r="D40" s="57"/>
      <c r="E40" s="2"/>
      <c r="F40" s="2"/>
      <c r="G40" s="63"/>
      <c r="H40" s="2"/>
      <c r="I40" s="20"/>
      <c r="J40" s="21"/>
      <c r="K40" s="21"/>
      <c r="L40" s="22"/>
      <c r="M40" s="2"/>
      <c r="N40" s="20"/>
      <c r="O40" s="21"/>
      <c r="P40" s="21"/>
      <c r="Q40" s="22"/>
      <c r="R40" s="33"/>
      <c r="T40" s="57"/>
      <c r="U40" s="2"/>
      <c r="V40" s="2"/>
      <c r="W40" s="199">
        <f>SUMIF([2]ACT!$T$62:$T$98,C40,[2]ACT!$S$62:$S$98)</f>
        <v>104.82204379562043</v>
      </c>
      <c r="X40" s="198"/>
      <c r="Y40" s="198"/>
      <c r="Z40" s="198"/>
      <c r="AA40" s="274"/>
      <c r="AB40" s="21"/>
      <c r="AC40" s="21"/>
      <c r="AD40" s="21"/>
      <c r="AE40" s="21"/>
      <c r="AF40" s="70"/>
      <c r="AG40" s="20"/>
      <c r="AH40" s="21"/>
      <c r="AI40" s="21"/>
      <c r="AJ40" s="22">
        <f t="shared" si="0"/>
        <v>104.82204379562043</v>
      </c>
      <c r="AK40" s="29">
        <f>AJ40/[2]Popn!$B$43*1000</f>
        <v>0.28717286347602089</v>
      </c>
      <c r="AL40" s="19"/>
      <c r="AM40" s="57"/>
      <c r="AN40" s="2"/>
      <c r="AO40" s="2"/>
      <c r="AP40" s="63"/>
      <c r="AQ40" s="68"/>
      <c r="AR40" s="21"/>
      <c r="AS40" s="21"/>
      <c r="AT40" s="21"/>
      <c r="AU40" s="240"/>
      <c r="AV40" s="21"/>
      <c r="AW40" s="195"/>
      <c r="AX40" s="2"/>
      <c r="AY40" s="238"/>
      <c r="BB40" s="21"/>
      <c r="BC40" s="29"/>
    </row>
    <row r="41" spans="1:81" s="106" customFormat="1" ht="15.75">
      <c r="A41" s="699"/>
      <c r="B41" s="107" t="s">
        <v>67</v>
      </c>
      <c r="C41" s="108"/>
      <c r="D41" s="109"/>
      <c r="E41" s="110"/>
      <c r="F41" s="110"/>
      <c r="G41" s="63"/>
      <c r="H41" s="110"/>
      <c r="I41" s="112">
        <f>D50*[2]ACT!$J$787</f>
        <v>4860.4819518048189</v>
      </c>
      <c r="J41" s="113">
        <f>(E$50-G$46)*[2]ACT!$J$678</f>
        <v>17640.786069343063</v>
      </c>
      <c r="K41" s="113">
        <f>F50*[2]ACT!$J$693</f>
        <v>7082.0651836008892</v>
      </c>
      <c r="L41" s="114">
        <f>SUM(I41:K41)</f>
        <v>29583.333204748771</v>
      </c>
      <c r="M41" s="110"/>
      <c r="N41" s="112">
        <f>I41-AU41</f>
        <v>4061.9233624545404</v>
      </c>
      <c r="O41" s="113">
        <f>J41-AV41</f>
        <v>14742.472408630116</v>
      </c>
      <c r="P41" s="113">
        <f>K41-AW41</f>
        <v>5918.5089686450783</v>
      </c>
      <c r="Q41" s="114">
        <f>SUM(N41:P41)</f>
        <v>24722.904739729733</v>
      </c>
      <c r="R41" s="115">
        <f>Q41/[2]Popn!$B$43*1000</f>
        <v>67.731434061675031</v>
      </c>
      <c r="T41" s="109"/>
      <c r="U41" s="110"/>
      <c r="V41" s="110"/>
      <c r="W41" s="203">
        <f>SUM(W39:W40)</f>
        <v>1227.7563503649635</v>
      </c>
      <c r="X41" s="130"/>
      <c r="Y41" s="130"/>
      <c r="Z41" s="130"/>
      <c r="AA41" s="276"/>
      <c r="AB41" s="113"/>
      <c r="AC41" s="113"/>
      <c r="AD41" s="113"/>
      <c r="AE41" s="113"/>
      <c r="AF41" s="117"/>
      <c r="AG41" s="112"/>
      <c r="AH41" s="113"/>
      <c r="AI41" s="113"/>
      <c r="AJ41" s="114">
        <f t="shared" si="0"/>
        <v>1227.7563503649635</v>
      </c>
      <c r="AK41" s="118">
        <f>AJ41/[2]Popn!$B$43*1000</f>
        <v>3.3635893178406664</v>
      </c>
      <c r="AL41" s="119"/>
      <c r="AM41" s="109"/>
      <c r="AN41" s="110"/>
      <c r="AO41" s="110"/>
      <c r="AP41" s="111"/>
      <c r="AQ41" s="116"/>
      <c r="AR41" s="113">
        <f>L41*'[2]Lfill en &amp; composn'!$D$25</f>
        <v>4659.3749797479313</v>
      </c>
      <c r="AS41" s="123">
        <f>AR41/SUM($AR$7:$AR$49)</f>
        <v>0.20075392181337723</v>
      </c>
      <c r="AT41" s="113">
        <f>AS41*'[2]Lfill en &amp; composn'!$B$64/'[2]Lfill en &amp; composn'!$B$25</f>
        <v>4860.4284650190366</v>
      </c>
      <c r="AU41" s="120">
        <f>$AT41*I41/SUM($I41:$K41)</f>
        <v>798.55858935027834</v>
      </c>
      <c r="AV41" s="113">
        <f>$AT41*J41/SUM($I41:$K41)</f>
        <v>2898.3136607129477</v>
      </c>
      <c r="AW41" s="114">
        <f>$AT41*K41/SUM($I41:$K41)</f>
        <v>1163.5562149558107</v>
      </c>
      <c r="AX41" s="110"/>
      <c r="AY41" s="241">
        <f>AU41</f>
        <v>798.55858935027834</v>
      </c>
      <c r="AZ41" s="242">
        <f>AV41</f>
        <v>2898.3136607129477</v>
      </c>
      <c r="BA41" s="242">
        <f>AW41</f>
        <v>1163.5562149558107</v>
      </c>
      <c r="BB41" s="114">
        <f>AT41+AP41</f>
        <v>4860.4284650190366</v>
      </c>
      <c r="BC41" s="118">
        <f>BB41/[2]Popn!$B$43*1000</f>
        <v>13.315740749544466</v>
      </c>
      <c r="BD41" s="122"/>
      <c r="BG41" s="144"/>
      <c r="BR41" s="336" t="s">
        <v>106</v>
      </c>
      <c r="BS41" s="315"/>
      <c r="BT41" s="316" t="s">
        <v>109</v>
      </c>
      <c r="BU41" s="316"/>
      <c r="BV41" s="314"/>
      <c r="BW41" s="310" t="s">
        <v>107</v>
      </c>
      <c r="BX41" s="314"/>
      <c r="BY41" s="314"/>
      <c r="BZ41" s="314"/>
      <c r="CA41" s="314"/>
      <c r="CB41" s="314"/>
      <c r="CC41" s="314"/>
    </row>
    <row r="42" spans="1:81" ht="38.25">
      <c r="A42" s="699"/>
      <c r="B42" s="23" t="s">
        <v>11</v>
      </c>
      <c r="C42" s="17" t="s">
        <v>12</v>
      </c>
      <c r="D42" s="57"/>
      <c r="E42" s="2"/>
      <c r="F42" s="2"/>
      <c r="G42" s="199">
        <f>'[2]Haz-ACT'!E9</f>
        <v>0</v>
      </c>
      <c r="H42" s="2"/>
      <c r="I42" s="112"/>
      <c r="J42" s="21"/>
      <c r="K42" s="21"/>
      <c r="L42" s="22"/>
      <c r="M42" s="2"/>
      <c r="N42" s="20"/>
      <c r="O42" s="21"/>
      <c r="P42" s="21"/>
      <c r="Q42" s="22"/>
      <c r="R42" s="33"/>
      <c r="T42" s="57"/>
      <c r="U42" s="2"/>
      <c r="V42" s="2"/>
      <c r="W42" s="199">
        <f>'[2]Haz-ACT'!F9</f>
        <v>0</v>
      </c>
      <c r="X42" s="198"/>
      <c r="Y42" s="198"/>
      <c r="Z42" s="198"/>
      <c r="AA42" s="274"/>
      <c r="AB42" s="21"/>
      <c r="AC42" s="21"/>
      <c r="AD42" s="21"/>
      <c r="AE42" s="21"/>
      <c r="AF42" s="70"/>
      <c r="AG42" s="20"/>
      <c r="AH42" s="21"/>
      <c r="AI42" s="21"/>
      <c r="AJ42" s="22"/>
      <c r="AK42" s="29"/>
      <c r="AL42" s="19"/>
      <c r="AM42" s="57"/>
      <c r="AN42" s="2"/>
      <c r="AO42" s="2"/>
      <c r="AP42" s="63"/>
      <c r="AQ42" s="70">
        <f>'[2]Haz-ACT'!G9</f>
        <v>0</v>
      </c>
      <c r="AR42" s="21"/>
      <c r="AS42" s="21"/>
      <c r="AT42" s="21"/>
      <c r="AU42" s="25"/>
      <c r="AV42" s="21"/>
      <c r="AW42" s="22"/>
      <c r="AX42" s="2"/>
      <c r="AY42" s="23"/>
      <c r="AZ42" s="19"/>
      <c r="BA42" s="19"/>
      <c r="BB42" s="19"/>
      <c r="BC42" s="24"/>
      <c r="BR42" s="317"/>
      <c r="BS42" s="317"/>
      <c r="BT42" s="317"/>
      <c r="BU42" s="317"/>
      <c r="BV42" s="318" t="s">
        <v>100</v>
      </c>
      <c r="BW42" s="311" t="s">
        <v>104</v>
      </c>
      <c r="BX42" s="318" t="s">
        <v>101</v>
      </c>
      <c r="BY42" s="319" t="s">
        <v>102</v>
      </c>
      <c r="BZ42" s="318" t="s">
        <v>103</v>
      </c>
      <c r="CA42" s="574" t="s">
        <v>192</v>
      </c>
      <c r="CB42" s="574" t="s">
        <v>258</v>
      </c>
      <c r="CC42" s="317"/>
    </row>
    <row r="43" spans="1:81">
      <c r="A43" s="699"/>
      <c r="B43" s="23"/>
      <c r="C43" s="17" t="s">
        <v>13</v>
      </c>
      <c r="D43" s="57"/>
      <c r="E43" s="2"/>
      <c r="F43" s="2"/>
      <c r="G43" s="199">
        <f>'[2]Haz-ACT'!E10</f>
        <v>0</v>
      </c>
      <c r="H43" s="3"/>
      <c r="I43" s="20"/>
      <c r="J43" s="21"/>
      <c r="K43" s="21"/>
      <c r="L43" s="22"/>
      <c r="M43" s="83"/>
      <c r="N43" s="20"/>
      <c r="O43" s="21"/>
      <c r="P43" s="21"/>
      <c r="Q43" s="22"/>
      <c r="R43" s="34"/>
      <c r="T43" s="57"/>
      <c r="U43" s="2"/>
      <c r="V43" s="198"/>
      <c r="W43" s="199">
        <f>'[2]Haz-ACT'!F10</f>
        <v>0</v>
      </c>
      <c r="X43" s="198"/>
      <c r="Y43" s="198"/>
      <c r="Z43" s="198"/>
      <c r="AA43" s="282"/>
      <c r="AB43" s="21"/>
      <c r="AC43" s="21"/>
      <c r="AD43" s="21"/>
      <c r="AE43" s="21"/>
      <c r="AF43" s="70"/>
      <c r="AG43" s="20"/>
      <c r="AH43" s="21"/>
      <c r="AI43" s="21"/>
      <c r="AJ43" s="22">
        <f t="shared" si="0"/>
        <v>0</v>
      </c>
      <c r="AK43" s="29">
        <f>AJ43/[2]Popn!$B$43*1000</f>
        <v>0</v>
      </c>
      <c r="AL43" s="19"/>
      <c r="AM43" s="57"/>
      <c r="AN43" s="2"/>
      <c r="AO43" s="2"/>
      <c r="AP43" s="64"/>
      <c r="AQ43" s="70">
        <f>'[2]Haz-ACT'!G10</f>
        <v>0</v>
      </c>
      <c r="AR43" s="21"/>
      <c r="AS43" s="21"/>
      <c r="AT43" s="21"/>
      <c r="AU43" s="25"/>
      <c r="AV43" s="21"/>
      <c r="AW43" s="22"/>
      <c r="AX43" s="2"/>
      <c r="AY43" s="20"/>
      <c r="AZ43" s="21"/>
      <c r="BA43" s="21"/>
      <c r="BB43" s="21"/>
      <c r="BC43" s="24"/>
      <c r="BR43" s="317"/>
      <c r="BS43" s="317"/>
      <c r="BT43" s="317"/>
      <c r="BU43" s="575" t="s">
        <v>72</v>
      </c>
      <c r="BV43" s="321">
        <f>BL151</f>
        <v>0.46939225286816827</v>
      </c>
      <c r="BW43" s="307">
        <f>AVERAGE(BV43,BX43)</f>
        <v>0.4514809752272701</v>
      </c>
      <c r="BX43" s="322">
        <f>BL104</f>
        <v>0.43356969758637193</v>
      </c>
      <c r="BY43" s="322">
        <f>BL57</f>
        <v>0.41423964077645142</v>
      </c>
      <c r="BZ43" s="322">
        <f>BL10</f>
        <v>0.54382893432813761</v>
      </c>
      <c r="CA43" s="553">
        <f>(BZ43-BV43)/BV43</f>
        <v>0.15858097573006888</v>
      </c>
      <c r="CB43" s="594">
        <f>(BZ43/BV43)^(1/4)-1</f>
        <v>3.7484454995804217E-2</v>
      </c>
      <c r="CC43" s="317"/>
    </row>
    <row r="44" spans="1:81">
      <c r="A44" s="699"/>
      <c r="B44" s="23"/>
      <c r="C44" s="17" t="s">
        <v>14</v>
      </c>
      <c r="D44" s="57"/>
      <c r="E44" s="2"/>
      <c r="F44" s="2"/>
      <c r="G44" s="199">
        <f>'[2]Haz-ACT'!E11</f>
        <v>115.5</v>
      </c>
      <c r="H44" s="3"/>
      <c r="I44" s="20"/>
      <c r="J44" s="21"/>
      <c r="K44" s="21"/>
      <c r="L44" s="22"/>
      <c r="M44" s="83"/>
      <c r="N44" s="20"/>
      <c r="O44" s="21"/>
      <c r="P44" s="21"/>
      <c r="Q44" s="22"/>
      <c r="R44" s="34"/>
      <c r="T44" s="57"/>
      <c r="U44" s="2"/>
      <c r="V44" s="2"/>
      <c r="W44" s="199">
        <f>'[2]Haz-ACT'!F11</f>
        <v>0</v>
      </c>
      <c r="X44" s="198"/>
      <c r="Y44" s="198"/>
      <c r="Z44" s="198"/>
      <c r="AA44" s="282"/>
      <c r="AB44" s="21"/>
      <c r="AC44" s="21"/>
      <c r="AD44" s="21"/>
      <c r="AE44" s="21"/>
      <c r="AF44" s="70"/>
      <c r="AG44" s="20"/>
      <c r="AH44" s="21"/>
      <c r="AI44" s="21"/>
      <c r="AJ44" s="22">
        <f t="shared" si="0"/>
        <v>0</v>
      </c>
      <c r="AK44" s="29">
        <f>AJ44/[2]Popn!$B$43*1000</f>
        <v>0</v>
      </c>
      <c r="AL44" s="19"/>
      <c r="AM44" s="57"/>
      <c r="AN44" s="2"/>
      <c r="AO44" s="2"/>
      <c r="AP44" s="64"/>
      <c r="AQ44" s="70">
        <f>'[2]Haz-ACT'!G11</f>
        <v>0</v>
      </c>
      <c r="AR44" s="21"/>
      <c r="AS44" s="21"/>
      <c r="AT44" s="21"/>
      <c r="AU44" s="25"/>
      <c r="AV44" s="21"/>
      <c r="AW44" s="22"/>
      <c r="AX44" s="2"/>
      <c r="AY44" s="23"/>
      <c r="AZ44" s="19"/>
      <c r="BA44" s="19"/>
      <c r="BB44" s="21"/>
      <c r="BC44" s="24"/>
      <c r="BR44" s="317"/>
      <c r="BS44" s="317"/>
      <c r="BT44" s="317"/>
      <c r="BU44" s="576" t="s">
        <v>68</v>
      </c>
      <c r="BV44" s="335">
        <f>BL152</f>
        <v>1.592193607781289</v>
      </c>
      <c r="BW44" s="308">
        <f>AVERAGE(BV44,BX44)</f>
        <v>1.5878197168562749</v>
      </c>
      <c r="BX44" s="324">
        <f>BL105</f>
        <v>1.5834458259312607</v>
      </c>
      <c r="BY44" s="324">
        <f>BL58</f>
        <v>1.5634484514478553</v>
      </c>
      <c r="BZ44" s="324">
        <f>BL11</f>
        <v>1.9303146472433077</v>
      </c>
      <c r="CA44" s="328">
        <f t="shared" ref="CA44:CA47" si="6">(BZ44-BV44)/BV44</f>
        <v>0.21236176166615064</v>
      </c>
      <c r="CB44" s="593">
        <f t="shared" ref="CB44:CB47" si="7">(BZ44/BV44)^(1/4)-1</f>
        <v>4.9320258402612671E-2</v>
      </c>
      <c r="CC44" s="317"/>
    </row>
    <row r="45" spans="1:81">
      <c r="A45" s="699"/>
      <c r="B45" s="23"/>
      <c r="C45" s="17" t="s">
        <v>15</v>
      </c>
      <c r="D45" s="57"/>
      <c r="E45" s="2"/>
      <c r="F45" s="2"/>
      <c r="G45" s="199">
        <f>'[2]Haz-ACT'!E12</f>
        <v>0</v>
      </c>
      <c r="H45" s="3"/>
      <c r="I45" s="20"/>
      <c r="J45" s="21"/>
      <c r="K45" s="21"/>
      <c r="L45" s="22"/>
      <c r="M45" s="83"/>
      <c r="N45" s="20"/>
      <c r="O45" s="21"/>
      <c r="P45" s="21"/>
      <c r="Q45" s="22"/>
      <c r="R45" s="34"/>
      <c r="T45" s="57"/>
      <c r="U45" s="2"/>
      <c r="V45" s="2"/>
      <c r="W45" s="199">
        <f>'[2]Haz-ACT'!F12</f>
        <v>0</v>
      </c>
      <c r="X45" s="198"/>
      <c r="Y45" s="198"/>
      <c r="Z45" s="198"/>
      <c r="AA45" s="282"/>
      <c r="AB45" s="21"/>
      <c r="AC45" s="21"/>
      <c r="AD45" s="21"/>
      <c r="AE45" s="21"/>
      <c r="AF45" s="70"/>
      <c r="AG45" s="20"/>
      <c r="AH45" s="21"/>
      <c r="AI45" s="21"/>
      <c r="AJ45" s="22">
        <f t="shared" si="0"/>
        <v>0</v>
      </c>
      <c r="AK45" s="29">
        <f>AJ45/[2]Popn!$B$43*1000</f>
        <v>0</v>
      </c>
      <c r="AL45" s="19"/>
      <c r="AM45" s="57"/>
      <c r="AN45" s="2"/>
      <c r="AO45" s="2"/>
      <c r="AP45" s="64"/>
      <c r="AQ45" s="70">
        <f>'[2]Haz-ACT'!G12</f>
        <v>0</v>
      </c>
      <c r="AR45" s="21"/>
      <c r="AS45" s="21"/>
      <c r="AT45" s="21"/>
      <c r="AU45" s="25"/>
      <c r="AV45" s="21"/>
      <c r="AW45" s="22"/>
      <c r="AX45" s="2"/>
      <c r="AY45" s="23"/>
      <c r="AZ45" s="19"/>
      <c r="BA45" s="19"/>
      <c r="BB45" s="21"/>
      <c r="BC45" s="24"/>
      <c r="BR45" s="317"/>
      <c r="BS45" s="317"/>
      <c r="BT45" s="317"/>
      <c r="BU45" s="576" t="s">
        <v>69</v>
      </c>
      <c r="BV45" s="335">
        <f>BL153</f>
        <v>0.1107910777428978</v>
      </c>
      <c r="BW45" s="308">
        <f>AVERAGE(BV45,BX45)</f>
        <v>9.9535364028843748E-2</v>
      </c>
      <c r="BX45" s="324">
        <f>BL106</f>
        <v>8.8279650314789709E-2</v>
      </c>
      <c r="BY45" s="324">
        <f>BL59</f>
        <v>8.2865054647404041E-2</v>
      </c>
      <c r="BZ45" s="324">
        <f>BL12</f>
        <v>8.5683190337686829E-2</v>
      </c>
      <c r="CA45" s="328">
        <f t="shared" si="6"/>
        <v>-0.22662373105058542</v>
      </c>
      <c r="CB45" s="593">
        <f t="shared" si="7"/>
        <v>-6.2227030530517924E-2</v>
      </c>
      <c r="CC45" s="317"/>
    </row>
    <row r="46" spans="1:81" s="106" customFormat="1">
      <c r="A46" s="699"/>
      <c r="B46" s="107" t="s">
        <v>67</v>
      </c>
      <c r="C46" s="108"/>
      <c r="D46" s="109"/>
      <c r="E46" s="110"/>
      <c r="F46" s="110"/>
      <c r="G46" s="203">
        <f>SUM(G42:G45)</f>
        <v>115.5</v>
      </c>
      <c r="H46" s="125"/>
      <c r="I46" s="112">
        <f>D50*[2]ACT!$J$788</f>
        <v>607.56024397560236</v>
      </c>
      <c r="J46" s="113">
        <f>G46</f>
        <v>115.5</v>
      </c>
      <c r="K46" s="113"/>
      <c r="L46" s="114">
        <f>SUM(I46:K46)</f>
        <v>723.06024397560236</v>
      </c>
      <c r="M46" s="110"/>
      <c r="N46" s="112">
        <f>I46-AU46</f>
        <v>607.56024397560236</v>
      </c>
      <c r="O46" s="113">
        <f>J46-AV46</f>
        <v>115.5</v>
      </c>
      <c r="P46" s="113">
        <f>K46-AW46</f>
        <v>0</v>
      </c>
      <c r="Q46" s="114">
        <f>SUM(N46:P46)</f>
        <v>723.06024397560236</v>
      </c>
      <c r="R46" s="115">
        <f>Q46/[2]Popn!$B$43*1000</f>
        <v>1.9809123463858618</v>
      </c>
      <c r="T46" s="109"/>
      <c r="U46" s="110"/>
      <c r="V46" s="110"/>
      <c r="W46" s="203"/>
      <c r="X46" s="130"/>
      <c r="Y46" s="130"/>
      <c r="Z46" s="130"/>
      <c r="AA46" s="284"/>
      <c r="AB46" s="113"/>
      <c r="AC46" s="113"/>
      <c r="AD46" s="113"/>
      <c r="AE46" s="113"/>
      <c r="AF46" s="117"/>
      <c r="AG46" s="112"/>
      <c r="AH46" s="113"/>
      <c r="AI46" s="113"/>
      <c r="AJ46" s="114">
        <f t="shared" si="0"/>
        <v>0</v>
      </c>
      <c r="AK46" s="118">
        <f>AJ46/[2]Popn!$B$43*1000</f>
        <v>0</v>
      </c>
      <c r="AL46" s="119"/>
      <c r="AM46" s="109"/>
      <c r="AN46" s="110"/>
      <c r="AO46" s="110"/>
      <c r="AP46" s="124"/>
      <c r="AQ46" s="126"/>
      <c r="AR46" s="113"/>
      <c r="AS46" s="113"/>
      <c r="AT46" s="113"/>
      <c r="AU46" s="120"/>
      <c r="AV46" s="113"/>
      <c r="AW46" s="114"/>
      <c r="AX46" s="110"/>
      <c r="AY46" s="127"/>
      <c r="AZ46" s="119"/>
      <c r="BA46" s="119"/>
      <c r="BB46" s="113"/>
      <c r="BC46" s="121"/>
      <c r="BG46" s="144"/>
      <c r="BR46" s="314"/>
      <c r="BS46" s="314"/>
      <c r="BT46" s="314"/>
      <c r="BU46" s="576" t="s">
        <v>73</v>
      </c>
      <c r="BV46" s="630">
        <f>SUM(BV44:BV45)/BV47</f>
        <v>0.78392688461536641</v>
      </c>
      <c r="BW46" s="631">
        <f>SUM(BW44:BW45)/BW47</f>
        <v>0.78891277153430106</v>
      </c>
      <c r="BX46" s="328">
        <f>SUM(BX44:BX45)/BX47</f>
        <v>0.79405752553115239</v>
      </c>
      <c r="BY46" s="328">
        <f>SUM(BY44:BY45)/BY47</f>
        <v>0.79896677675829841</v>
      </c>
      <c r="BZ46" s="328">
        <f>SUM(BZ44:BZ45)/BZ47</f>
        <v>0.78755244679211345</v>
      </c>
      <c r="CA46" s="329">
        <f t="shared" si="6"/>
        <v>4.6248728649303994E-3</v>
      </c>
      <c r="CB46" s="593">
        <f t="shared" si="7"/>
        <v>1.1542183481234591E-3</v>
      </c>
      <c r="CC46" s="317"/>
    </row>
    <row r="47" spans="1:81" s="106" customFormat="1" ht="13.5" thickBot="1">
      <c r="A47" s="699"/>
      <c r="B47" s="131" t="s">
        <v>37</v>
      </c>
      <c r="C47" s="132" t="s">
        <v>1</v>
      </c>
      <c r="D47" s="109"/>
      <c r="E47" s="110"/>
      <c r="F47" s="110"/>
      <c r="G47" s="203"/>
      <c r="H47" s="130"/>
      <c r="I47" s="112"/>
      <c r="J47" s="113"/>
      <c r="K47" s="113"/>
      <c r="L47" s="114"/>
      <c r="M47" s="110"/>
      <c r="N47" s="127"/>
      <c r="O47" s="119"/>
      <c r="P47" s="119"/>
      <c r="Q47" s="113">
        <f>H47</f>
        <v>0</v>
      </c>
      <c r="R47" s="115">
        <f>Q47/[2]Popn!$B$43*1000</f>
        <v>0</v>
      </c>
      <c r="T47" s="109"/>
      <c r="U47" s="110"/>
      <c r="V47" s="110"/>
      <c r="W47" s="203"/>
      <c r="X47" s="130"/>
      <c r="Y47" s="130"/>
      <c r="Z47" s="130"/>
      <c r="AA47" s="285"/>
      <c r="AB47" s="113"/>
      <c r="AC47" s="113"/>
      <c r="AD47" s="113"/>
      <c r="AE47" s="113"/>
      <c r="AF47" s="117"/>
      <c r="AG47" s="112"/>
      <c r="AH47" s="113"/>
      <c r="AI47" s="113"/>
      <c r="AJ47" s="114">
        <f t="shared" si="0"/>
        <v>0</v>
      </c>
      <c r="AK47" s="118">
        <f>AJ47/[2]Popn!$B$43*1000</f>
        <v>0</v>
      </c>
      <c r="AL47" s="119"/>
      <c r="AM47" s="109"/>
      <c r="AN47" s="110"/>
      <c r="AO47" s="110"/>
      <c r="AP47" s="111"/>
      <c r="AQ47" s="117"/>
      <c r="AR47" s="113"/>
      <c r="AS47" s="113"/>
      <c r="AT47" s="113"/>
      <c r="AU47" s="120"/>
      <c r="AV47" s="113"/>
      <c r="AW47" s="114"/>
      <c r="AX47" s="110"/>
      <c r="AY47" s="127"/>
      <c r="AZ47" s="119"/>
      <c r="BA47" s="119"/>
      <c r="BB47" s="119"/>
      <c r="BC47" s="121"/>
      <c r="BG47" s="144"/>
      <c r="BR47" s="314"/>
      <c r="BS47" s="314"/>
      <c r="BT47" s="314"/>
      <c r="BU47" s="576" t="s">
        <v>191</v>
      </c>
      <c r="BV47" s="577">
        <f>SUM(BV43:BV45)</f>
        <v>2.1723769383923552</v>
      </c>
      <c r="BW47" s="578">
        <f>SUM(BW43:BW45)</f>
        <v>2.1388360561123889</v>
      </c>
      <c r="BX47" s="579">
        <f>SUM(BX43:BX45)</f>
        <v>2.1052951738324222</v>
      </c>
      <c r="BY47" s="579">
        <f>SUM(BY43:BY45)</f>
        <v>2.0605531468717109</v>
      </c>
      <c r="BZ47" s="579">
        <f>SUM(BZ43:BZ45)</f>
        <v>2.5598267719091323</v>
      </c>
      <c r="CA47" s="580">
        <f t="shared" si="6"/>
        <v>0.17835294909892815</v>
      </c>
      <c r="CB47" s="652">
        <f t="shared" si="7"/>
        <v>4.1882751446807864E-2</v>
      </c>
      <c r="CC47" s="314"/>
    </row>
    <row r="48" spans="1:81" ht="13.5" thickBot="1">
      <c r="B48" s="19"/>
      <c r="C48" s="38"/>
      <c r="D48" s="57"/>
      <c r="E48" s="2"/>
      <c r="F48" s="2"/>
      <c r="G48" s="63"/>
      <c r="H48" s="2"/>
      <c r="I48" s="20"/>
      <c r="J48" s="21"/>
      <c r="K48" s="21"/>
      <c r="L48" s="22"/>
      <c r="M48" s="2"/>
      <c r="N48" s="23"/>
      <c r="O48" s="19"/>
      <c r="P48" s="19"/>
      <c r="Q48" s="19"/>
      <c r="R48" s="24"/>
      <c r="T48" s="57"/>
      <c r="U48" s="2"/>
      <c r="V48" s="2"/>
      <c r="W48" s="63"/>
      <c r="X48" s="2"/>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19"/>
      <c r="BC48" s="24"/>
      <c r="BR48" s="317"/>
      <c r="BS48" s="317"/>
      <c r="BT48" s="317"/>
      <c r="BU48" s="314"/>
      <c r="BV48" s="314"/>
      <c r="BW48" s="314"/>
      <c r="BX48" s="314"/>
      <c r="BY48" s="314"/>
      <c r="BZ48" s="314"/>
      <c r="CA48" s="314"/>
      <c r="CB48" s="314"/>
      <c r="CC48" s="314"/>
    </row>
    <row r="49" spans="1:81" ht="13.5" thickBot="1">
      <c r="C49" s="39" t="s">
        <v>88</v>
      </c>
      <c r="D49" s="58"/>
      <c r="E49" s="59"/>
      <c r="F49" s="2"/>
      <c r="G49" s="208"/>
      <c r="H49" s="2"/>
      <c r="I49" s="20"/>
      <c r="J49" s="21"/>
      <c r="K49" s="21"/>
      <c r="L49" s="22"/>
      <c r="M49" s="2"/>
      <c r="N49" s="23"/>
      <c r="O49" s="19"/>
      <c r="P49" s="19"/>
      <c r="Q49" s="19"/>
      <c r="R49" s="24"/>
      <c r="T49" s="58"/>
      <c r="U49" s="59"/>
      <c r="V49" s="2"/>
      <c r="W49" s="199">
        <f>SUMIF([2]ACT!$T$62:$T$98,C49,[2]ACT!$S$62:$S$98)</f>
        <v>27249.635036496351</v>
      </c>
      <c r="X49" s="198"/>
      <c r="Y49" s="198"/>
      <c r="Z49" s="198"/>
      <c r="AA49" s="274"/>
      <c r="AB49" s="21"/>
      <c r="AC49" s="21"/>
      <c r="AD49" s="21"/>
      <c r="AE49" s="21"/>
      <c r="AF49" s="70"/>
      <c r="AG49" s="20"/>
      <c r="AH49" s="21"/>
      <c r="AI49" s="21"/>
      <c r="AJ49" s="22">
        <f t="shared" si="0"/>
        <v>27249.635036496351</v>
      </c>
      <c r="AK49" s="29">
        <f>AJ49/[2]Popn!$B$43*1000</f>
        <v>74.653722048816931</v>
      </c>
      <c r="AL49" s="19"/>
      <c r="AM49" s="58"/>
      <c r="AN49" s="59"/>
      <c r="AO49" s="2"/>
      <c r="AP49" s="65"/>
      <c r="AQ49" s="68"/>
      <c r="AR49" s="21"/>
      <c r="AS49" s="21"/>
      <c r="AT49" s="21"/>
      <c r="AU49" s="25"/>
      <c r="AV49" s="21"/>
      <c r="AW49" s="22"/>
      <c r="AX49" s="2"/>
      <c r="AY49" s="23"/>
      <c r="AZ49" s="19"/>
      <c r="BA49" s="19"/>
      <c r="BB49" s="19"/>
      <c r="BC49" s="24"/>
      <c r="BR49" s="317"/>
      <c r="BS49" s="317"/>
      <c r="BT49" s="317"/>
      <c r="BU49" s="317"/>
      <c r="BV49" s="317"/>
      <c r="BW49" s="317"/>
      <c r="BX49" s="317"/>
      <c r="BY49" s="317"/>
      <c r="BZ49" s="317"/>
      <c r="CA49" s="317"/>
      <c r="CB49" s="317"/>
      <c r="CC49" s="317"/>
    </row>
    <row r="50" spans="1:81" ht="13.5" thickBot="1">
      <c r="C50" s="135" t="s">
        <v>92</v>
      </c>
      <c r="D50" s="134">
        <f>[2]ACT!$O$55</f>
        <v>76031.824817518238</v>
      </c>
      <c r="E50" s="134">
        <f>[2]ACT!$L$21*G50</f>
        <v>116941.89781021897</v>
      </c>
      <c r="F50" s="134">
        <f>[2]ACT!$O$54</f>
        <v>45683.211678832115</v>
      </c>
      <c r="G50" s="66">
        <f>[2]ACT!$O$52</f>
        <v>238656.93430656934</v>
      </c>
      <c r="H50" s="231"/>
      <c r="I50" s="41">
        <f>SUM(I46,I41,I38,I37,I27,I22,I16,I12)</f>
        <v>76031.824817518223</v>
      </c>
      <c r="J50" s="218">
        <f>SUM(J46,J41,J38,J37,J27,J22,J16,J12)</f>
        <v>108065.54479838976</v>
      </c>
      <c r="K50" s="218">
        <f>SUM(K46,K41,K38,K37,K27,K22,K16,K12)</f>
        <v>45683.211678832115</v>
      </c>
      <c r="L50" s="42">
        <f>SUM(L46,L41,L38,L37,L27,L22,L16,L12)</f>
        <v>229780.58129474008</v>
      </c>
      <c r="M50" s="43"/>
      <c r="N50" s="44">
        <f>SUM(N46,N41,N38,N37,N27,N22,N16,N12)</f>
        <v>64120.920444075266</v>
      </c>
      <c r="O50" s="45">
        <f>SUM(O46,O41,O38,O37,O27,O22,O16,O12)</f>
        <v>93007.714726684178</v>
      </c>
      <c r="P50" s="45">
        <f>SUM(P46,P41,P38,P37,P27,P22,P16,P12)</f>
        <v>41376.403506857823</v>
      </c>
      <c r="Q50" s="133">
        <f>SUM(Q46,Q41,Q38,Q37,Q27,Q22,Q16,Q12)</f>
        <v>198505.03867761727</v>
      </c>
      <c r="R50" s="27">
        <f>SUM(R46,R41,R38,R37,R27,R22,R16,R12)</f>
        <v>543.82893432813762</v>
      </c>
      <c r="T50" s="60"/>
      <c r="U50" s="134"/>
      <c r="V50" s="134"/>
      <c r="W50" s="66">
        <f>SUM(W12,W16,W22,W27,W37,W38,W41,W49)</f>
        <v>661260.94054306578</v>
      </c>
      <c r="X50" s="288"/>
      <c r="Y50" s="288"/>
      <c r="Z50" s="288"/>
      <c r="AA50" s="287"/>
      <c r="AB50" s="45"/>
      <c r="AC50" s="45"/>
      <c r="AD50" s="45"/>
      <c r="AE50" s="45"/>
      <c r="AF50" s="230"/>
      <c r="AG50" s="44"/>
      <c r="AH50" s="45"/>
      <c r="AI50" s="45"/>
      <c r="AJ50" s="354">
        <f>SUM(AJ46,AJ41,AJ38,AJ37,AJ27,AJ22,AJ16,AJ12,AJ49)</f>
        <v>704591.38807020686</v>
      </c>
      <c r="AK50" s="27">
        <f>SUM(AK46,AK41,AK38,AK37,AK27,AK22,AK16,AK12,AK49)</f>
        <v>1930.3146472433077</v>
      </c>
      <c r="AL50" s="19"/>
      <c r="AM50" s="60"/>
      <c r="AN50" s="706"/>
      <c r="AO50" s="707"/>
      <c r="AP50" s="66"/>
      <c r="AQ50" s="71"/>
      <c r="AR50" s="45">
        <f>SUM(AR7:AR49)</f>
        <v>23209.384592144263</v>
      </c>
      <c r="AS50" s="46">
        <f>SUM(AS7:AS49)</f>
        <v>1</v>
      </c>
      <c r="AT50" s="45">
        <f>SUM(AT7:AT49)</f>
        <v>51156.1485269564</v>
      </c>
      <c r="AU50" s="47"/>
      <c r="AV50" s="45"/>
      <c r="AW50" s="214"/>
      <c r="AX50" s="43"/>
      <c r="AY50" s="44">
        <f>SUM(AY46,AY41,AY38,AY37,AY27,AY22,AY16,AY12)</f>
        <v>11910.904373442965</v>
      </c>
      <c r="AZ50" s="45">
        <f>SUM(AZ46,AZ41,AZ38,AZ37,AZ27,AZ22,AZ16,AZ12)</f>
        <v>15057.830071705583</v>
      </c>
      <c r="BA50" s="45">
        <f>SUM(BA46,BA41,BA38,BA37,BA27,BA22,BA16,BA12)</f>
        <v>4306.8081719742859</v>
      </c>
      <c r="BB50" s="354">
        <f>SUM(BB46,BB41,BB38,BB37,BB27,BB22,BB16,BB12,BB49)</f>
        <v>31275.542617122832</v>
      </c>
      <c r="BC50" s="27">
        <f>SUM(BC46,BC41,BC38,BC37,BC27,BC22,BC16,BC12,BC49)</f>
        <v>85.683190337686824</v>
      </c>
      <c r="BR50" s="317"/>
      <c r="BS50" s="317"/>
      <c r="BT50" s="317"/>
      <c r="BU50" s="317"/>
      <c r="BV50" s="317"/>
      <c r="BW50" s="317"/>
      <c r="BX50" s="317"/>
      <c r="BY50" s="317"/>
      <c r="BZ50" s="317"/>
      <c r="CA50" s="317"/>
      <c r="CB50" s="317"/>
      <c r="CC50" s="317"/>
    </row>
    <row r="51" spans="1:81" ht="13.5" thickBot="1">
      <c r="C51" s="136" t="s">
        <v>65</v>
      </c>
      <c r="Q51" s="49">
        <f>Q50+Q47</f>
        <v>198505.03867761727</v>
      </c>
      <c r="R51" s="50">
        <f>R50+H47/[2]Popn!$B$43*1000</f>
        <v>543.82893432813762</v>
      </c>
      <c r="AJ51" s="353">
        <f>AJ50+AJ47</f>
        <v>704591.38807020686</v>
      </c>
      <c r="AK51" s="216">
        <f>AK50+AK47</f>
        <v>1930.3146472433077</v>
      </c>
      <c r="AW51" s="152"/>
      <c r="BB51" s="353">
        <f>BB50+BB47</f>
        <v>31275.542617122832</v>
      </c>
      <c r="BC51" s="216">
        <f>BC50+BC47</f>
        <v>85.683190337686824</v>
      </c>
      <c r="BR51" s="317"/>
      <c r="BS51" s="317"/>
      <c r="BT51" s="317"/>
      <c r="BU51" s="317"/>
      <c r="BV51" s="317"/>
      <c r="BW51" s="317"/>
      <c r="BX51" s="317"/>
      <c r="BY51" s="317"/>
      <c r="BZ51" s="317"/>
      <c r="CA51" s="317"/>
      <c r="CB51" s="317"/>
      <c r="CC51" s="317"/>
    </row>
    <row r="52" spans="1:81">
      <c r="BR52" s="317"/>
      <c r="BS52" s="317"/>
      <c r="BT52" s="317"/>
      <c r="BU52" s="317"/>
      <c r="BV52" s="317"/>
      <c r="BW52" s="317"/>
      <c r="BX52" s="317"/>
      <c r="BY52" s="317"/>
      <c r="BZ52" s="317"/>
      <c r="CA52" s="317"/>
      <c r="CB52" s="317"/>
      <c r="CC52" s="317"/>
    </row>
    <row r="53" spans="1:81" ht="13.5" thickBot="1">
      <c r="AT53" s="215"/>
      <c r="AU53" s="215"/>
      <c r="AV53" s="215"/>
      <c r="AW53" s="215"/>
      <c r="BR53" s="317"/>
      <c r="BS53" s="317"/>
      <c r="BT53" s="317"/>
      <c r="BU53" s="317"/>
      <c r="BV53" s="317"/>
      <c r="BW53" s="317"/>
      <c r="BX53" s="317"/>
      <c r="BY53" s="317"/>
      <c r="BZ53" s="317"/>
      <c r="CA53" s="317"/>
      <c r="CB53" s="317"/>
      <c r="CC53" s="317"/>
    </row>
    <row r="54" spans="1:81">
      <c r="A54" s="699" t="s">
        <v>81</v>
      </c>
      <c r="B54" s="16" t="s">
        <v>3</v>
      </c>
      <c r="C54" s="148" t="s">
        <v>16</v>
      </c>
      <c r="D54" s="55"/>
      <c r="E54" s="56"/>
      <c r="F54" s="56"/>
      <c r="G54" s="149"/>
      <c r="H54" s="150"/>
      <c r="I54" s="151"/>
      <c r="J54" s="26"/>
      <c r="K54" s="26"/>
      <c r="L54" s="133"/>
      <c r="M54" s="56"/>
      <c r="N54" s="16"/>
      <c r="O54" s="18"/>
      <c r="P54" s="18"/>
      <c r="Q54" s="244"/>
      <c r="R54" s="28"/>
      <c r="S54" s="152"/>
      <c r="T54" s="55"/>
      <c r="U54" s="56"/>
      <c r="V54" s="56"/>
      <c r="W54" s="213"/>
      <c r="X54" s="197"/>
      <c r="Y54" s="197"/>
      <c r="Z54" s="197"/>
      <c r="AA54" s="290"/>
      <c r="AB54" s="26"/>
      <c r="AC54" s="26"/>
      <c r="AD54" s="26"/>
      <c r="AE54" s="26"/>
      <c r="AF54" s="84"/>
      <c r="AG54" s="151"/>
      <c r="AH54" s="26"/>
      <c r="AI54" s="26"/>
      <c r="AJ54" s="133"/>
      <c r="AK54" s="27"/>
      <c r="AL54" s="18"/>
      <c r="AM54" s="55"/>
      <c r="AN54" s="56"/>
      <c r="AO54" s="56"/>
      <c r="AP54" s="149"/>
      <c r="AQ54" s="153"/>
      <c r="AR54" s="26"/>
      <c r="AS54" s="26"/>
      <c r="AT54" s="21"/>
      <c r="AU54" s="25"/>
      <c r="AV54" s="21"/>
      <c r="AW54" s="22"/>
      <c r="AX54" s="56"/>
      <c r="AY54" s="16"/>
      <c r="AZ54" s="18"/>
      <c r="BA54" s="18"/>
      <c r="BB54" s="244"/>
      <c r="BC54" s="28"/>
      <c r="BD54" s="8"/>
      <c r="BH54" s="700" t="s">
        <v>86</v>
      </c>
      <c r="BI54" s="701"/>
      <c r="BJ54" s="701"/>
      <c r="BK54" s="701"/>
      <c r="BL54" s="702"/>
      <c r="BM54" s="700" t="s">
        <v>87</v>
      </c>
      <c r="BN54" s="702"/>
      <c r="BP54" s="8"/>
      <c r="BQ54" s="8"/>
      <c r="BR54" s="325"/>
      <c r="BS54" s="325"/>
      <c r="BT54" s="325"/>
      <c r="BU54" s="317"/>
      <c r="BV54" s="317"/>
      <c r="BW54" s="317"/>
      <c r="BX54" s="317"/>
      <c r="BY54" s="317"/>
      <c r="BZ54" s="317"/>
      <c r="CA54" s="317"/>
      <c r="CB54" s="317"/>
      <c r="CC54" s="317"/>
    </row>
    <row r="55" spans="1:81">
      <c r="A55" s="699"/>
      <c r="B55" s="23"/>
      <c r="C55" s="17" t="s">
        <v>17</v>
      </c>
      <c r="D55" s="57"/>
      <c r="E55" s="2"/>
      <c r="F55" s="2"/>
      <c r="G55" s="63"/>
      <c r="H55" s="5"/>
      <c r="I55" s="20"/>
      <c r="J55" s="21"/>
      <c r="K55" s="21"/>
      <c r="L55" s="22"/>
      <c r="M55" s="2"/>
      <c r="N55" s="23"/>
      <c r="O55" s="19"/>
      <c r="P55" s="19"/>
      <c r="Q55" s="19"/>
      <c r="R55" s="24"/>
      <c r="T55" s="57"/>
      <c r="U55" s="2"/>
      <c r="V55" s="2"/>
      <c r="W55" s="199"/>
      <c r="X55" s="198"/>
      <c r="Y55" s="198"/>
      <c r="Z55" s="198"/>
      <c r="AA55" s="272"/>
      <c r="AB55" s="21"/>
      <c r="AC55" s="21"/>
      <c r="AD55" s="21"/>
      <c r="AE55" s="21"/>
      <c r="AF55" s="70"/>
      <c r="AG55" s="20"/>
      <c r="AH55" s="21"/>
      <c r="AI55" s="21"/>
      <c r="AJ55" s="22"/>
      <c r="AK55" s="29"/>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6"/>
      <c r="BU55" s="325"/>
      <c r="BV55" s="317"/>
      <c r="BW55" s="317"/>
      <c r="BX55" s="317"/>
      <c r="BY55" s="317"/>
      <c r="BZ55" s="317"/>
      <c r="CA55" s="317"/>
      <c r="CB55" s="317"/>
      <c r="CC55" s="317"/>
    </row>
    <row r="56" spans="1:81">
      <c r="A56" s="699"/>
      <c r="B56" s="23"/>
      <c r="C56" s="17" t="s">
        <v>18</v>
      </c>
      <c r="D56" s="57"/>
      <c r="E56" s="2"/>
      <c r="F56" s="2"/>
      <c r="G56" s="63"/>
      <c r="H56" s="5"/>
      <c r="I56" s="20"/>
      <c r="J56" s="21"/>
      <c r="K56" s="21"/>
      <c r="L56" s="22"/>
      <c r="M56" s="2"/>
      <c r="N56" s="23"/>
      <c r="O56" s="19"/>
      <c r="P56" s="19"/>
      <c r="Q56" s="19"/>
      <c r="R56" s="24"/>
      <c r="T56" s="57"/>
      <c r="U56" s="2"/>
      <c r="V56" s="2"/>
      <c r="W56" s="199"/>
      <c r="X56" s="198"/>
      <c r="Y56" s="198"/>
      <c r="Z56" s="198"/>
      <c r="AA56" s="272"/>
      <c r="AB56" s="21"/>
      <c r="AC56" s="21"/>
      <c r="AD56" s="21"/>
      <c r="AE56" s="21"/>
      <c r="AF56" s="70"/>
      <c r="AG56" s="20"/>
      <c r="AH56" s="21"/>
      <c r="AI56" s="21"/>
      <c r="AJ56" s="22"/>
      <c r="AK56" s="29"/>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8"/>
      <c r="BU56" s="326"/>
      <c r="BV56" s="317"/>
      <c r="BW56" s="317"/>
      <c r="BX56" s="317"/>
      <c r="BY56" s="317"/>
      <c r="BZ56" s="317"/>
      <c r="CA56" s="317"/>
      <c r="CB56" s="317"/>
      <c r="CC56" s="317"/>
    </row>
    <row r="57" spans="1:81">
      <c r="A57" s="699"/>
      <c r="B57" s="23"/>
      <c r="C57" s="17" t="s">
        <v>182</v>
      </c>
      <c r="D57" s="57"/>
      <c r="E57" s="2"/>
      <c r="F57" s="2"/>
      <c r="G57" s="63"/>
      <c r="H57" s="2"/>
      <c r="I57" s="20"/>
      <c r="J57" s="21"/>
      <c r="K57" s="21"/>
      <c r="L57" s="22"/>
      <c r="M57" s="2"/>
      <c r="N57" s="23"/>
      <c r="O57" s="19"/>
      <c r="P57" s="19"/>
      <c r="Q57" s="19"/>
      <c r="R57" s="24"/>
      <c r="T57" s="57"/>
      <c r="U57" s="2"/>
      <c r="V57" s="2"/>
      <c r="W57" s="199"/>
      <c r="X57" s="198"/>
      <c r="Y57" s="198"/>
      <c r="Z57" s="198"/>
      <c r="AA57" s="274"/>
      <c r="AB57" s="21"/>
      <c r="AC57" s="21"/>
      <c r="AD57" s="21"/>
      <c r="AE57" s="21"/>
      <c r="AF57" s="70"/>
      <c r="AG57" s="20"/>
      <c r="AH57" s="21"/>
      <c r="AI57" s="21"/>
      <c r="AJ57" s="22"/>
      <c r="AK57" s="29"/>
      <c r="AL57" s="19"/>
      <c r="AM57" s="57"/>
      <c r="AN57" s="2"/>
      <c r="AO57" s="2"/>
      <c r="AP57" s="63"/>
      <c r="AQ57" s="68"/>
      <c r="AR57" s="21"/>
      <c r="AS57" s="21"/>
      <c r="AT57" s="21"/>
      <c r="AU57" s="25"/>
      <c r="AV57" s="21"/>
      <c r="AW57" s="22"/>
      <c r="AX57" s="2"/>
      <c r="AY57" s="23"/>
      <c r="AZ57" s="19"/>
      <c r="BA57" s="19"/>
      <c r="BB57" s="19"/>
      <c r="BC57" s="24"/>
      <c r="BD57" s="30"/>
      <c r="BG57" s="145" t="s">
        <v>72</v>
      </c>
      <c r="BH57" s="52">
        <f>N97/1000</f>
        <v>47.353074606610193</v>
      </c>
      <c r="BI57" s="52">
        <f>O97/1000</f>
        <v>70.338938040153138</v>
      </c>
      <c r="BJ57" s="52">
        <f>P97/1000</f>
        <v>30.643267438696547</v>
      </c>
      <c r="BK57" s="53">
        <f>Q97/1000</f>
        <v>148.33528008545989</v>
      </c>
      <c r="BL57" s="54">
        <f>R97/1000</f>
        <v>0.41423964077645142</v>
      </c>
      <c r="BM57" s="51">
        <f>Q98/1000</f>
        <v>148.33528008545989</v>
      </c>
      <c r="BN57" s="54">
        <f>R98/1000</f>
        <v>0.41423964077645142</v>
      </c>
      <c r="BP57" s="30"/>
      <c r="BQ57" s="30"/>
      <c r="BR57" s="327"/>
      <c r="BS57" s="328"/>
      <c r="BT57" s="328"/>
      <c r="BU57" s="329"/>
      <c r="BV57" s="317"/>
      <c r="BW57" s="317"/>
      <c r="BX57" s="317"/>
      <c r="BY57" s="317"/>
      <c r="BZ57" s="317"/>
      <c r="CA57" s="317"/>
      <c r="CB57" s="317"/>
      <c r="CC57" s="317"/>
    </row>
    <row r="58" spans="1:81">
      <c r="A58" s="699"/>
      <c r="B58" s="23"/>
      <c r="C58" s="17" t="s">
        <v>183</v>
      </c>
      <c r="D58" s="57"/>
      <c r="E58" s="2"/>
      <c r="F58" s="2"/>
      <c r="G58" s="63"/>
      <c r="H58" s="2"/>
      <c r="I58" s="20"/>
      <c r="J58" s="21"/>
      <c r="K58" s="21"/>
      <c r="L58" s="22"/>
      <c r="M58" s="2"/>
      <c r="N58" s="23"/>
      <c r="O58" s="19"/>
      <c r="P58" s="19"/>
      <c r="Q58" s="19"/>
      <c r="R58" s="33"/>
      <c r="T58" s="57"/>
      <c r="U58" s="2"/>
      <c r="V58" s="2"/>
      <c r="W58" s="199"/>
      <c r="X58" s="198"/>
      <c r="Y58" s="198"/>
      <c r="Z58" s="198"/>
      <c r="AA58" s="274"/>
      <c r="AB58" s="21"/>
      <c r="AC58" s="21"/>
      <c r="AD58" s="21"/>
      <c r="AE58" s="21"/>
      <c r="AF58" s="70"/>
      <c r="AG58" s="20"/>
      <c r="AH58" s="21"/>
      <c r="AI58" s="21"/>
      <c r="AJ58" s="22"/>
      <c r="AK58" s="29"/>
      <c r="AL58" s="19"/>
      <c r="AM58" s="57"/>
      <c r="AN58" s="2"/>
      <c r="AO58" s="2"/>
      <c r="AP58" s="63"/>
      <c r="AQ58" s="68"/>
      <c r="AR58" s="21"/>
      <c r="AS58" s="21"/>
      <c r="AT58" s="21"/>
      <c r="AU58" s="25"/>
      <c r="AV58" s="21"/>
      <c r="AW58" s="22"/>
      <c r="AX58" s="2"/>
      <c r="AY58" s="23"/>
      <c r="AZ58" s="19"/>
      <c r="BA58" s="19"/>
      <c r="BB58" s="19"/>
      <c r="BC58" s="24"/>
      <c r="BD58" s="30"/>
      <c r="BG58" s="77" t="s">
        <v>68</v>
      </c>
      <c r="BH58" s="52">
        <f>AG97/1000</f>
        <v>0</v>
      </c>
      <c r="BI58" s="52">
        <f>AH97/1000</f>
        <v>0</v>
      </c>
      <c r="BJ58" s="52">
        <f>AI97/1000</f>
        <v>0</v>
      </c>
      <c r="BK58" s="53">
        <f>AJ97/1000</f>
        <v>559.85603770318812</v>
      </c>
      <c r="BL58" s="54">
        <f>AK97/1000</f>
        <v>1.5634484514478553</v>
      </c>
      <c r="BM58" s="51">
        <f>AJ98/1000</f>
        <v>559.85603770318812</v>
      </c>
      <c r="BN58" s="54">
        <f>AK98/1000</f>
        <v>1.5634484514478553</v>
      </c>
      <c r="BR58" s="317"/>
      <c r="BS58" s="317"/>
      <c r="BT58" s="317"/>
      <c r="BU58" s="329"/>
      <c r="BV58" s="317"/>
      <c r="BW58" s="317"/>
      <c r="BX58" s="317"/>
      <c r="BY58" s="317"/>
      <c r="BZ58" s="317"/>
      <c r="CA58" s="317"/>
      <c r="CB58" s="317"/>
      <c r="CC58" s="317"/>
    </row>
    <row r="59" spans="1:81" s="106" customFormat="1">
      <c r="A59" s="699"/>
      <c r="B59" s="107" t="s">
        <v>67</v>
      </c>
      <c r="C59" s="108"/>
      <c r="D59" s="109"/>
      <c r="E59" s="110"/>
      <c r="F59" s="110"/>
      <c r="G59" s="111"/>
      <c r="H59" s="110"/>
      <c r="I59" s="112">
        <f>D97*[2]ACT!$J$781</f>
        <v>1270.3880778588803</v>
      </c>
      <c r="J59" s="113">
        <f>E97*[2]ACT!$J$672</f>
        <v>1666.7292144792332</v>
      </c>
      <c r="K59" s="113">
        <f>F97*[2]ACT!$J$687</f>
        <v>12980.949278155658</v>
      </c>
      <c r="L59" s="114">
        <f>SUM(I59:K59)</f>
        <v>15918.066570493771</v>
      </c>
      <c r="M59" s="110"/>
      <c r="N59" s="112">
        <f>I59-AU59</f>
        <v>1270.3880778588803</v>
      </c>
      <c r="O59" s="113">
        <f>J59-AV59</f>
        <v>1666.7292144792332</v>
      </c>
      <c r="P59" s="113">
        <f>K59-AW59</f>
        <v>12980.949278155658</v>
      </c>
      <c r="Q59" s="114">
        <f>SUM(N59:P59)</f>
        <v>15918.066570493771</v>
      </c>
      <c r="R59" s="115">
        <f>Q59/[2]Popn!$B$42*1000</f>
        <v>44.452635773620834</v>
      </c>
      <c r="T59" s="109"/>
      <c r="U59" s="110"/>
      <c r="V59" s="110"/>
      <c r="W59" s="203">
        <f>SUMIF([2]ACT!$U$62:$U$98,B54,[2]ACT!$R$62:$R$98)</f>
        <v>220017.79672541699</v>
      </c>
      <c r="X59" s="130"/>
      <c r="Y59" s="130"/>
      <c r="Z59" s="130"/>
      <c r="AA59" s="276"/>
      <c r="AB59" s="113"/>
      <c r="AC59" s="113"/>
      <c r="AD59" s="113"/>
      <c r="AE59" s="113"/>
      <c r="AF59" s="117"/>
      <c r="AG59" s="112"/>
      <c r="AH59" s="113"/>
      <c r="AI59" s="113"/>
      <c r="AJ59" s="114">
        <f>W59</f>
        <v>220017.79672541699</v>
      </c>
      <c r="AK59" s="118">
        <f>AJ59/[2]Popn!$B$42*1000</f>
        <v>614.41953005013261</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11.218502035725553</v>
      </c>
      <c r="BI59" s="52">
        <f>AZ97/1000</f>
        <v>14.462421407471902</v>
      </c>
      <c r="BJ59" s="52">
        <f>BA97/1000</f>
        <v>3.9922654080187794</v>
      </c>
      <c r="BK59" s="53">
        <f>BB97/1000</f>
        <v>29.673188851216231</v>
      </c>
      <c r="BL59" s="54">
        <f>BC97/1000</f>
        <v>8.2865054647404041E-2</v>
      </c>
      <c r="BM59" s="51">
        <f>BB98/1000</f>
        <v>29.673188851216231</v>
      </c>
      <c r="BN59" s="54">
        <f>BC98/1000</f>
        <v>8.2865054647404041E-2</v>
      </c>
      <c r="BO59" s="6"/>
      <c r="BR59" s="314"/>
      <c r="BS59" s="314"/>
      <c r="BT59" s="314"/>
      <c r="BU59" s="317"/>
      <c r="BV59" s="317"/>
      <c r="BW59" s="317"/>
      <c r="BX59" s="317"/>
      <c r="BY59" s="317"/>
      <c r="BZ59" s="317"/>
      <c r="CA59" s="317"/>
      <c r="CB59" s="317"/>
      <c r="CC59" s="317"/>
    </row>
    <row r="60" spans="1:81">
      <c r="A60" s="699"/>
      <c r="B60" s="23" t="s">
        <v>4</v>
      </c>
      <c r="C60" s="17" t="s">
        <v>19</v>
      </c>
      <c r="D60" s="57"/>
      <c r="E60" s="2"/>
      <c r="F60" s="2"/>
      <c r="G60" s="63"/>
      <c r="H60" s="2"/>
      <c r="I60" s="112"/>
      <c r="J60" s="113"/>
      <c r="K60" s="113"/>
      <c r="L60" s="22"/>
      <c r="M60" s="2"/>
      <c r="N60" s="23"/>
      <c r="O60" s="19"/>
      <c r="P60" s="19"/>
      <c r="Q60" s="19"/>
      <c r="R60" s="33"/>
      <c r="T60" s="57"/>
      <c r="U60" s="2"/>
      <c r="V60" s="2"/>
      <c r="W60" s="199">
        <f>SUMIF([2]ACT!$T$62:$T$98,C60,[2]ACT!$R$62:$R$98)</f>
        <v>31024.687432179904</v>
      </c>
      <c r="X60" s="198"/>
      <c r="Y60" s="198"/>
      <c r="Z60" s="198"/>
      <c r="AA60" s="274"/>
      <c r="AB60" s="21"/>
      <c r="AC60" s="21"/>
      <c r="AD60" s="21"/>
      <c r="AE60" s="21"/>
      <c r="AF60" s="70"/>
      <c r="AG60" s="20"/>
      <c r="AH60" s="21"/>
      <c r="AI60" s="21"/>
      <c r="AJ60" s="22">
        <f>W60</f>
        <v>31024.687432179904</v>
      </c>
      <c r="AK60" s="29">
        <f>AJ60/[2]Popn!$B$42*1000</f>
        <v>86.639236260609835</v>
      </c>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8">SUM(BH58:BH59)/BH61</f>
        <v>0.19153491640204168</v>
      </c>
      <c r="BI60" s="86">
        <f t="shared" si="8"/>
        <v>0.17054468821816673</v>
      </c>
      <c r="BJ60" s="86">
        <f t="shared" si="8"/>
        <v>0.11526502062743312</v>
      </c>
      <c r="BK60" s="87">
        <f t="shared" si="8"/>
        <v>0.7989667767582983</v>
      </c>
      <c r="BL60" s="87">
        <f t="shared" si="8"/>
        <v>0.79896677675829841</v>
      </c>
      <c r="BM60" s="88">
        <f t="shared" si="8"/>
        <v>0.7989667767582983</v>
      </c>
      <c r="BN60" s="87">
        <f t="shared" si="8"/>
        <v>0.79896677675829841</v>
      </c>
      <c r="BR60" s="317"/>
      <c r="BS60" s="317"/>
      <c r="BT60" s="317"/>
      <c r="BU60" s="314"/>
      <c r="BV60" s="314"/>
      <c r="BW60" s="314"/>
      <c r="BX60" s="314"/>
      <c r="BY60" s="314"/>
      <c r="BZ60" s="314"/>
      <c r="CA60" s="314"/>
      <c r="CB60" s="314"/>
      <c r="CC60" s="314"/>
    </row>
    <row r="61" spans="1:81">
      <c r="A61" s="699"/>
      <c r="B61" s="23"/>
      <c r="C61" s="17" t="s">
        <v>20</v>
      </c>
      <c r="D61" s="57"/>
      <c r="E61" s="2"/>
      <c r="F61" s="2"/>
      <c r="G61" s="63"/>
      <c r="H61" s="2"/>
      <c r="I61" s="20"/>
      <c r="J61" s="21"/>
      <c r="K61" s="21"/>
      <c r="L61" s="22"/>
      <c r="M61" s="2"/>
      <c r="N61" s="23"/>
      <c r="O61" s="19"/>
      <c r="P61" s="19"/>
      <c r="Q61" s="19"/>
      <c r="R61" s="33"/>
      <c r="T61" s="57"/>
      <c r="U61" s="2"/>
      <c r="V61" s="2"/>
      <c r="W61" s="199">
        <f>SUMIF([2]ACT!$T$62:$T$98,C61,[2]ACT!$R$62:$R$98)</f>
        <v>2067.5398055987471</v>
      </c>
      <c r="X61" s="198"/>
      <c r="Y61" s="198"/>
      <c r="Z61" s="198"/>
      <c r="AA61" s="274"/>
      <c r="AB61" s="21"/>
      <c r="AC61" s="21"/>
      <c r="AD61" s="21"/>
      <c r="AE61" s="21"/>
      <c r="AF61" s="70"/>
      <c r="AG61" s="20"/>
      <c r="AH61" s="21"/>
      <c r="AI61" s="21"/>
      <c r="AJ61" s="22">
        <f>W61</f>
        <v>2067.5398055987471</v>
      </c>
      <c r="AK61" s="29">
        <f>AJ61/[2]Popn!$B$42*1000</f>
        <v>5.7737912778997131</v>
      </c>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9">SUM(BH57:BH59)</f>
        <v>58.571576642335742</v>
      </c>
      <c r="BI61" s="52">
        <f t="shared" si="9"/>
        <v>84.801359447625046</v>
      </c>
      <c r="BJ61" s="52">
        <f t="shared" si="9"/>
        <v>34.635532846715329</v>
      </c>
      <c r="BK61" s="74">
        <f t="shared" si="9"/>
        <v>737.8645066398642</v>
      </c>
      <c r="BL61" s="76">
        <f t="shared" si="9"/>
        <v>2.0605531468717109</v>
      </c>
      <c r="BM61" s="81">
        <f t="shared" si="9"/>
        <v>737.8645066398642</v>
      </c>
      <c r="BN61" s="76">
        <f t="shared" si="9"/>
        <v>2.0605531468717109</v>
      </c>
      <c r="BR61" s="317"/>
      <c r="BS61" s="317"/>
      <c r="BT61" s="317"/>
      <c r="BU61" s="317"/>
      <c r="BV61" s="317"/>
      <c r="BW61" s="317"/>
      <c r="BX61" s="317"/>
      <c r="BY61" s="317"/>
      <c r="BZ61" s="317"/>
      <c r="CA61" s="317"/>
      <c r="CB61" s="317"/>
      <c r="CC61" s="317"/>
    </row>
    <row r="62" spans="1:81">
      <c r="A62" s="699"/>
      <c r="B62" s="23"/>
      <c r="C62" s="17" t="s">
        <v>21</v>
      </c>
      <c r="D62" s="57"/>
      <c r="E62" s="2"/>
      <c r="F62" s="2"/>
      <c r="G62" s="63"/>
      <c r="H62" s="2"/>
      <c r="I62" s="20"/>
      <c r="J62" s="21"/>
      <c r="K62" s="21"/>
      <c r="L62" s="22"/>
      <c r="M62" s="2"/>
      <c r="N62" s="23"/>
      <c r="O62" s="19"/>
      <c r="P62" s="19"/>
      <c r="Q62" s="19"/>
      <c r="R62" s="33"/>
      <c r="T62" s="57"/>
      <c r="U62" s="2"/>
      <c r="V62" s="2"/>
      <c r="W62" s="199"/>
      <c r="X62" s="198"/>
      <c r="Y62" s="198"/>
      <c r="Z62" s="198"/>
      <c r="AA62" s="274"/>
      <c r="AB62" s="21"/>
      <c r="AC62" s="21"/>
      <c r="AD62" s="21"/>
      <c r="AE62" s="21"/>
      <c r="AF62" s="70"/>
      <c r="AG62" s="20"/>
      <c r="AH62" s="21"/>
      <c r="AI62" s="21"/>
      <c r="AJ62" s="22"/>
      <c r="AK62" s="29"/>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317"/>
      <c r="CB62" s="317"/>
      <c r="CC62" s="317"/>
    </row>
    <row r="63" spans="1:81" s="106" customFormat="1">
      <c r="A63" s="699"/>
      <c r="B63" s="107" t="s">
        <v>67</v>
      </c>
      <c r="C63" s="108"/>
      <c r="D63" s="109"/>
      <c r="E63" s="110"/>
      <c r="F63" s="110"/>
      <c r="G63" s="111"/>
      <c r="H63" s="110"/>
      <c r="I63" s="112">
        <f>D97*[2]ACT!$J$782</f>
        <v>1604.7007299270069</v>
      </c>
      <c r="J63" s="113">
        <f>E97*[2]ACT!$J$673</f>
        <v>2864.690837386182</v>
      </c>
      <c r="K63" s="113">
        <f>F97*[2]ACT!$J$688</f>
        <v>2006.1467066240564</v>
      </c>
      <c r="L63" s="114">
        <f>SUM(I63:K63)</f>
        <v>6475.5382739372453</v>
      </c>
      <c r="M63" s="110"/>
      <c r="N63" s="112">
        <f>I63-AU63</f>
        <v>1604.7007299270069</v>
      </c>
      <c r="O63" s="113">
        <f>J63-AV63</f>
        <v>2864.690837386182</v>
      </c>
      <c r="P63" s="113">
        <f>K63-AW63</f>
        <v>2006.1467066240564</v>
      </c>
      <c r="Q63" s="114">
        <f>SUM(N63:P63)</f>
        <v>6475.5382739372453</v>
      </c>
      <c r="R63" s="115">
        <f>Q63/[2]Popn!$B$42*1000</f>
        <v>18.083524343531163</v>
      </c>
      <c r="T63" s="109"/>
      <c r="U63" s="110"/>
      <c r="V63" s="110"/>
      <c r="W63" s="203">
        <f>SUM(W60:W62)</f>
        <v>33092.22723777865</v>
      </c>
      <c r="X63" s="130"/>
      <c r="Y63" s="130"/>
      <c r="Z63" s="130"/>
      <c r="AA63" s="276"/>
      <c r="AB63" s="113"/>
      <c r="AC63" s="113"/>
      <c r="AD63" s="113"/>
      <c r="AE63" s="113"/>
      <c r="AF63" s="117"/>
      <c r="AG63" s="112"/>
      <c r="AH63" s="113"/>
      <c r="AI63" s="113"/>
      <c r="AJ63" s="114">
        <f>W63</f>
        <v>33092.22723777865</v>
      </c>
      <c r="AK63" s="118">
        <f>AJ63/[2]Popn!$B$42*1000</f>
        <v>92.413027538509539</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4"/>
      <c r="BU63" s="317"/>
      <c r="BV63" s="317"/>
      <c r="BW63" s="317"/>
      <c r="BX63" s="317"/>
      <c r="BY63" s="317"/>
      <c r="BZ63" s="317"/>
      <c r="CA63" s="317"/>
      <c r="CB63" s="317"/>
      <c r="CC63" s="317"/>
    </row>
    <row r="64" spans="1:81">
      <c r="A64" s="699"/>
      <c r="B64" s="23" t="s">
        <v>2</v>
      </c>
      <c r="C64" s="17" t="s">
        <v>22</v>
      </c>
      <c r="D64" s="57"/>
      <c r="E64" s="2"/>
      <c r="F64" s="2"/>
      <c r="G64" s="63"/>
      <c r="H64" s="2"/>
      <c r="I64" s="112"/>
      <c r="J64" s="113"/>
      <c r="K64" s="113"/>
      <c r="L64" s="22"/>
      <c r="M64" s="2"/>
      <c r="N64" s="20"/>
      <c r="O64" s="21"/>
      <c r="P64" s="21"/>
      <c r="Q64" s="21"/>
      <c r="R64" s="34"/>
      <c r="T64" s="57"/>
      <c r="U64" s="2"/>
      <c r="V64" s="2"/>
      <c r="W64" s="199"/>
      <c r="X64" s="198"/>
      <c r="Y64" s="198"/>
      <c r="Z64" s="198"/>
      <c r="AA64" s="274"/>
      <c r="AB64" s="21"/>
      <c r="AC64" s="21"/>
      <c r="AD64" s="21"/>
      <c r="AE64" s="21"/>
      <c r="AF64" s="70"/>
      <c r="AG64" s="20"/>
      <c r="AH64" s="21"/>
      <c r="AI64" s="21"/>
      <c r="AJ64" s="22"/>
      <c r="AK64" s="29"/>
      <c r="AL64" s="19"/>
      <c r="AM64" s="57"/>
      <c r="AN64" s="2"/>
      <c r="AO64" s="2"/>
      <c r="AP64" s="63"/>
      <c r="AQ64" s="70"/>
      <c r="AR64" s="21">
        <f>L69*'[2]Lfill en &amp; composn'!$B$82/SUM('[2]Lfill en &amp; composn'!$B$82,'[2]Lfill en &amp; composn'!$B$84:$B$85,'[2]Lfill en &amp; composn'!$B$87:$B$88)*'[2]Lfill en &amp; composn'!$D$16</f>
        <v>5231.514498637297</v>
      </c>
      <c r="AS64" s="35">
        <f>AR64/SUM($AR$54:$AR$96)</f>
        <v>0.2901803456129774</v>
      </c>
      <c r="AT64" s="21">
        <f>AS64*'[2]Lfill en &amp; composn'!$B$63/'[2]Lfill en &amp; composn'!$B$16</f>
        <v>14011.745901138369</v>
      </c>
      <c r="AU64" s="25"/>
      <c r="AV64" s="21"/>
      <c r="AW64" s="22"/>
      <c r="AX64" s="82"/>
      <c r="AY64" s="20"/>
      <c r="AZ64" s="21"/>
      <c r="BA64" s="21"/>
      <c r="BB64" s="21"/>
      <c r="BC64" s="29"/>
      <c r="BD64" s="30"/>
      <c r="BR64" s="317"/>
      <c r="BS64" s="317"/>
      <c r="BT64" s="317"/>
      <c r="BU64" s="316" t="s">
        <v>108</v>
      </c>
      <c r="BV64" s="314"/>
      <c r="BW64" s="310" t="s">
        <v>107</v>
      </c>
      <c r="BX64" s="314"/>
      <c r="BY64" s="314"/>
      <c r="BZ64" s="314"/>
      <c r="CA64" s="314"/>
      <c r="CB64" s="314"/>
      <c r="CC64" s="314"/>
    </row>
    <row r="65" spans="1:81" ht="38.25">
      <c r="A65" s="699"/>
      <c r="B65" s="23"/>
      <c r="C65" s="17" t="s">
        <v>23</v>
      </c>
      <c r="D65" s="57"/>
      <c r="E65" s="2"/>
      <c r="F65" s="2"/>
      <c r="G65" s="63"/>
      <c r="H65" s="2"/>
      <c r="I65" s="20"/>
      <c r="J65" s="21"/>
      <c r="K65" s="21"/>
      <c r="L65" s="22"/>
      <c r="M65" s="2"/>
      <c r="N65" s="20"/>
      <c r="O65" s="21"/>
      <c r="P65" s="21"/>
      <c r="Q65" s="21"/>
      <c r="R65" s="34"/>
      <c r="T65" s="201"/>
      <c r="U65" s="2"/>
      <c r="V65" s="2"/>
      <c r="W65" s="199">
        <f>SUMIF([2]ACT!$T$62:$T$98,C65,[2]ACT!$R$62:$R$98)</f>
        <v>166456.12300348931</v>
      </c>
      <c r="X65" s="198"/>
      <c r="Y65" s="198"/>
      <c r="Z65" s="198"/>
      <c r="AA65" s="274"/>
      <c r="AB65" s="21"/>
      <c r="AC65" s="21"/>
      <c r="AD65" s="21"/>
      <c r="AE65" s="21"/>
      <c r="AF65" s="70"/>
      <c r="AG65" s="20"/>
      <c r="AH65" s="21"/>
      <c r="AI65" s="21"/>
      <c r="AJ65" s="22">
        <f>W65</f>
        <v>166456.12300348931</v>
      </c>
      <c r="AK65" s="29">
        <f>AJ65/[2]Popn!$B$42*1000</f>
        <v>464.8437280617311</v>
      </c>
      <c r="AL65" s="19"/>
      <c r="AM65" s="57"/>
      <c r="AN65" s="2"/>
      <c r="AO65" s="2"/>
      <c r="AP65" s="63"/>
      <c r="AQ65" s="68"/>
      <c r="AR65" s="21">
        <f>L69*'[2]Lfill en &amp; composn'!$B$84/SUM('[2]Lfill en &amp; composn'!$B$82,'[2]Lfill en &amp; composn'!$B$84:$B$85,'[2]Lfill en &amp; composn'!$B$87:$B$88)*'[2]Lfill en &amp; composn'!$D$18</f>
        <v>1470.872041298366</v>
      </c>
      <c r="AS65" s="35">
        <f t="shared" ref="AS65:AS67" si="10">AR65/SUM($AR$54:$AR$96)</f>
        <v>8.1585964715877757E-2</v>
      </c>
      <c r="AT65" s="21">
        <f>AS65*'[2]Lfill en &amp; composn'!$B$63/'[2]Lfill en &amp; composn'!$B$18</f>
        <v>2954.6155278451997</v>
      </c>
      <c r="AU65" s="25"/>
      <c r="AV65" s="21"/>
      <c r="AW65" s="22"/>
      <c r="AX65" s="2"/>
      <c r="AY65" s="20"/>
      <c r="AZ65" s="21"/>
      <c r="BA65" s="21"/>
      <c r="BB65" s="21"/>
      <c r="BC65" s="29"/>
      <c r="BD65" s="36"/>
      <c r="BR65" s="317"/>
      <c r="BS65" s="317"/>
      <c r="BT65" s="317"/>
      <c r="BU65" s="317"/>
      <c r="BV65" s="318" t="s">
        <v>100</v>
      </c>
      <c r="BW65" s="311" t="s">
        <v>104</v>
      </c>
      <c r="BX65" s="318" t="s">
        <v>101</v>
      </c>
      <c r="BY65" s="319" t="s">
        <v>102</v>
      </c>
      <c r="BZ65" s="318" t="s">
        <v>103</v>
      </c>
      <c r="CA65" s="574" t="s">
        <v>192</v>
      </c>
      <c r="CB65" s="574" t="s">
        <v>258</v>
      </c>
      <c r="CC65" s="317"/>
    </row>
    <row r="66" spans="1:81">
      <c r="A66" s="699"/>
      <c r="B66" s="23"/>
      <c r="C66" s="17" t="s">
        <v>24</v>
      </c>
      <c r="D66" s="57"/>
      <c r="E66" s="2"/>
      <c r="F66" s="2"/>
      <c r="G66" s="63"/>
      <c r="H66" s="2"/>
      <c r="I66" s="20"/>
      <c r="J66" s="21"/>
      <c r="K66" s="21"/>
      <c r="L66" s="22"/>
      <c r="M66" s="2"/>
      <c r="N66" s="20"/>
      <c r="O66" s="21"/>
      <c r="P66" s="21"/>
      <c r="Q66" s="21"/>
      <c r="R66" s="34"/>
      <c r="T66" s="57"/>
      <c r="U66" s="2"/>
      <c r="V66" s="2"/>
      <c r="W66" s="199">
        <f>SUMIF([2]ACT!$T$62:$T$98,C66,[2]ACT!$R$62:$R$98)</f>
        <v>27364.812097129081</v>
      </c>
      <c r="X66" s="198"/>
      <c r="Y66" s="198"/>
      <c r="Z66" s="198"/>
      <c r="AA66" s="274"/>
      <c r="AB66" s="21"/>
      <c r="AC66" s="21"/>
      <c r="AD66" s="21"/>
      <c r="AE66" s="21"/>
      <c r="AF66" s="70"/>
      <c r="AG66" s="20"/>
      <c r="AH66" s="21"/>
      <c r="AI66" s="21"/>
      <c r="AJ66" s="22">
        <f>W66</f>
        <v>27364.812097129081</v>
      </c>
      <c r="AK66" s="29">
        <f>AJ66/[2]Popn!$B$42*1000</f>
        <v>76.418704481490238</v>
      </c>
      <c r="AL66" s="19"/>
      <c r="AM66" s="57"/>
      <c r="AN66" s="2"/>
      <c r="AO66" s="2"/>
      <c r="AP66" s="63"/>
      <c r="AQ66" s="70"/>
      <c r="AR66" s="21">
        <f>L69*'[2]Lfill en &amp; composn'!$B$85/SUM('[2]Lfill en &amp; composn'!$B$82,'[2]Lfill en &amp; composn'!$B$84:$B$85,'[2]Lfill en &amp; composn'!$B$87:$B$88)*'[2]Lfill en &amp; composn'!$D$19</f>
        <v>1122.0768200450236</v>
      </c>
      <c r="AS66" s="35">
        <f t="shared" si="10"/>
        <v>6.2239078096751714E-2</v>
      </c>
      <c r="AT66" s="21">
        <f>AS66*'[2]Lfill en &amp; composn'!$B$63/'[2]Lfill en &amp; composn'!$B$19</f>
        <v>1048.3594489985173</v>
      </c>
      <c r="AU66" s="25"/>
      <c r="AV66" s="21"/>
      <c r="AW66" s="22"/>
      <c r="AX66" s="2"/>
      <c r="AY66" s="20"/>
      <c r="AZ66" s="21"/>
      <c r="BA66" s="21"/>
      <c r="BB66" s="21"/>
      <c r="BC66" s="29"/>
      <c r="BR66" s="317"/>
      <c r="BS66" s="317"/>
      <c r="BT66" s="317"/>
      <c r="BU66" s="575" t="s">
        <v>72</v>
      </c>
      <c r="BV66" s="330">
        <f>BK151</f>
        <v>158.88235406014516</v>
      </c>
      <c r="BW66" s="312">
        <f>AVERAGE(BV66,BX66)</f>
        <v>155.57563655275408</v>
      </c>
      <c r="BX66" s="331">
        <f>BK104</f>
        <v>152.26891904536302</v>
      </c>
      <c r="BY66" s="331">
        <f>BK57</f>
        <v>148.33528008545989</v>
      </c>
      <c r="BZ66" s="331">
        <f>BK10</f>
        <v>198.50503867761728</v>
      </c>
      <c r="CA66" s="553">
        <f>(BZ66-BV66)/BV66</f>
        <v>0.24938379628031498</v>
      </c>
      <c r="CB66" s="594">
        <f>(BZ66/BV66)^(1/4)-1</f>
        <v>5.724092812303283E-2</v>
      </c>
      <c r="CC66" s="317"/>
    </row>
    <row r="67" spans="1:81">
      <c r="A67" s="699"/>
      <c r="B67" s="23"/>
      <c r="C67" s="17" t="s">
        <v>25</v>
      </c>
      <c r="D67" s="57"/>
      <c r="E67" s="2"/>
      <c r="F67" s="2"/>
      <c r="G67" s="63"/>
      <c r="H67" s="2"/>
      <c r="I67" s="20"/>
      <c r="J67" s="21"/>
      <c r="K67" s="21"/>
      <c r="L67" s="22"/>
      <c r="M67" s="2"/>
      <c r="N67" s="20"/>
      <c r="O67" s="21"/>
      <c r="P67" s="21"/>
      <c r="Q67" s="21"/>
      <c r="R67" s="34"/>
      <c r="T67" s="57"/>
      <c r="U67" s="2"/>
      <c r="V67" s="2"/>
      <c r="W67" s="199"/>
      <c r="X67" s="198"/>
      <c r="Y67" s="198"/>
      <c r="Z67" s="198"/>
      <c r="AA67" s="274"/>
      <c r="AB67" s="21"/>
      <c r="AC67" s="21"/>
      <c r="AD67" s="21"/>
      <c r="AE67" s="21"/>
      <c r="AF67" s="70"/>
      <c r="AG67" s="20"/>
      <c r="AH67" s="21"/>
      <c r="AI67" s="21"/>
      <c r="AJ67" s="22"/>
      <c r="AK67" s="29"/>
      <c r="AL67" s="19"/>
      <c r="AM67" s="57"/>
      <c r="AN67" s="2"/>
      <c r="AO67" s="2"/>
      <c r="AP67" s="63"/>
      <c r="AQ67" s="68"/>
      <c r="AR67" s="21">
        <f>L69*'[2]Lfill en &amp; composn'!$B$93/SUM('[2]Lfill en &amp; composn'!$B$82,'[2]Lfill en &amp; composn'!$B$84:$B$85,'[2]Lfill en &amp; composn'!$B$87:$B$88)*'[2]Lfill en &amp; composn'!$D$24</f>
        <v>355.88534004335349</v>
      </c>
      <c r="AS67" s="35">
        <f t="shared" si="10"/>
        <v>1.9740159565508664E-2</v>
      </c>
      <c r="AT67" s="21">
        <f>AS67*'[2]Lfill en &amp; composn'!$B$63/'[2]Lfill en &amp; composn'!$B$24</f>
        <v>595.73749579669925</v>
      </c>
      <c r="AU67" s="25"/>
      <c r="AV67" s="21"/>
      <c r="AW67" s="22"/>
      <c r="AX67" s="83"/>
      <c r="AY67" s="20"/>
      <c r="AZ67" s="21"/>
      <c r="BA67" s="21"/>
      <c r="BB67" s="21"/>
      <c r="BC67" s="29"/>
      <c r="BR67" s="317"/>
      <c r="BS67" s="317"/>
      <c r="BT67" s="317"/>
      <c r="BU67" s="576" t="s">
        <v>68</v>
      </c>
      <c r="BV67" s="332">
        <f>BK152</f>
        <v>538.93405137825152</v>
      </c>
      <c r="BW67" s="313">
        <f>AVERAGE(BV67,BX67)</f>
        <v>547.5187272075575</v>
      </c>
      <c r="BX67" s="333">
        <f>BK105</f>
        <v>556.10340303686348</v>
      </c>
      <c r="BY67" s="333">
        <f>BK58</f>
        <v>559.85603770318812</v>
      </c>
      <c r="BZ67" s="333">
        <f>BK11</f>
        <v>704.5913880702069</v>
      </c>
      <c r="CA67" s="328">
        <f t="shared" ref="CA67:CA69" si="11">(BZ67-BV67)/BV67</f>
        <v>0.30737960659251157</v>
      </c>
      <c r="CB67" s="593">
        <f>(BZ67/BV67)^(1/4)-1</f>
        <v>6.9302116817128834E-2</v>
      </c>
      <c r="CC67" s="317"/>
    </row>
    <row r="68" spans="1:81">
      <c r="A68" s="699"/>
      <c r="B68" s="23"/>
      <c r="C68" s="17" t="s">
        <v>0</v>
      </c>
      <c r="D68" s="57"/>
      <c r="E68" s="2"/>
      <c r="F68" s="2"/>
      <c r="G68" s="199"/>
      <c r="H68" s="198">
        <f>[2]Biosolids!$B$195</f>
        <v>3351.4837153196622</v>
      </c>
      <c r="I68" s="112"/>
      <c r="J68" s="113"/>
      <c r="K68" s="113"/>
      <c r="L68" s="22"/>
      <c r="M68" s="2" t="s">
        <v>193</v>
      </c>
      <c r="N68" s="23"/>
      <c r="O68" s="19"/>
      <c r="P68" s="19"/>
      <c r="Q68" s="19"/>
      <c r="R68" s="34"/>
      <c r="T68" s="57"/>
      <c r="U68" s="2"/>
      <c r="V68" s="2"/>
      <c r="W68" s="199"/>
      <c r="X68" s="198"/>
      <c r="Y68" s="198"/>
      <c r="Z68" s="198"/>
      <c r="AA68" s="278">
        <f>[2]Biosolids!$B$194</f>
        <v>41256.447527141136</v>
      </c>
      <c r="AB68" s="21"/>
      <c r="AC68" s="21"/>
      <c r="AD68" s="21"/>
      <c r="AE68" s="21"/>
      <c r="AF68" s="355" t="s">
        <v>111</v>
      </c>
      <c r="AG68" s="20"/>
      <c r="AH68" s="21"/>
      <c r="AI68" s="21"/>
      <c r="AJ68" s="22">
        <f>AA68</f>
        <v>41256.447527141136</v>
      </c>
      <c r="AK68" s="29">
        <f>AJ68/[2]Popn!$B$42*1000</f>
        <v>115.21234863013996</v>
      </c>
      <c r="AL68" s="19"/>
      <c r="AM68" s="57"/>
      <c r="AN68" s="2"/>
      <c r="AO68" s="2"/>
      <c r="AP68" s="63"/>
      <c r="AQ68" s="68"/>
      <c r="AR68" s="21">
        <f>L69*'[2]Lfill en &amp; composn'!$B$87/SUM('[2]Lfill en &amp; composn'!$B$82,'[2]Lfill en &amp; composn'!$B$84:$B$85,'[2]Lfill en &amp; composn'!$B$87:$B$88)*'[2]Lfill en &amp; composn'!$D$21</f>
        <v>27.156948186447764</v>
      </c>
      <c r="AS68" s="35">
        <f>AR68/SUM($AR$54:$AR$96)</f>
        <v>1.5063348505657049E-3</v>
      </c>
      <c r="AT68" s="21">
        <f>AS68*'[2]Lfill en &amp; composn'!$B$63/'[2]Lfill en &amp; composn'!$B$21</f>
        <v>218.2061757860003</v>
      </c>
      <c r="AU68" s="25"/>
      <c r="AV68" s="21"/>
      <c r="AW68" s="22"/>
      <c r="AX68" s="2"/>
      <c r="AY68" s="23"/>
      <c r="AZ68" s="19"/>
      <c r="BA68" s="19"/>
      <c r="BB68" s="21"/>
      <c r="BC68" s="24"/>
      <c r="BR68" s="317"/>
      <c r="BS68" s="317"/>
      <c r="BT68" s="314"/>
      <c r="BU68" s="576" t="s">
        <v>69</v>
      </c>
      <c r="BV68" s="332">
        <f>BK153</f>
        <v>37.501145647574205</v>
      </c>
      <c r="BW68" s="313">
        <f>AVERAGE(BV68,BX68)</f>
        <v>34.252402174370147</v>
      </c>
      <c r="BX68" s="333">
        <f>BK106</f>
        <v>31.003658701166092</v>
      </c>
      <c r="BY68" s="333">
        <f>BK59</f>
        <v>29.673188851216231</v>
      </c>
      <c r="BZ68" s="333">
        <f>BK12</f>
        <v>31.275542617122831</v>
      </c>
      <c r="CA68" s="328">
        <f t="shared" si="11"/>
        <v>-0.16601100907577426</v>
      </c>
      <c r="CB68" s="593">
        <f t="shared" ref="CB68:CB69" si="12">(BZ68/BV68)^(1/4)-1</f>
        <v>-4.4369330223249293E-2</v>
      </c>
      <c r="CC68" s="317"/>
    </row>
    <row r="69" spans="1:81" s="106" customFormat="1">
      <c r="A69" s="699"/>
      <c r="B69" s="107" t="s">
        <v>67</v>
      </c>
      <c r="C69" s="108"/>
      <c r="D69" s="109"/>
      <c r="E69" s="110"/>
      <c r="F69" s="110"/>
      <c r="G69" s="111"/>
      <c r="H69" s="110"/>
      <c r="I69" s="112">
        <f>D97*[2]ACT!$J$783</f>
        <v>34300.478102189772</v>
      </c>
      <c r="J69" s="113">
        <f>E97*[2]ACT!$J$674</f>
        <v>28646.908373861821</v>
      </c>
      <c r="K69" s="113">
        <f>F97*[2]ACT!$J$689</f>
        <v>9617.7033288153307</v>
      </c>
      <c r="L69" s="114">
        <f>SUM(I69:K69)</f>
        <v>72565.089804866919</v>
      </c>
      <c r="M69" s="110"/>
      <c r="N69" s="112">
        <f>I69-AU69</f>
        <v>25400.438181995145</v>
      </c>
      <c r="O69" s="113">
        <f>J69-AV69</f>
        <v>21213.815827514743</v>
      </c>
      <c r="P69" s="113">
        <f>K69-AW69</f>
        <v>7122.1712457922495</v>
      </c>
      <c r="Q69" s="114">
        <f>SUM(N69:P69)</f>
        <v>53736.425255302136</v>
      </c>
      <c r="R69" s="115">
        <f>Q69/[2]Popn!$B$42*1000</f>
        <v>150.06381139768337</v>
      </c>
      <c r="T69" s="109"/>
      <c r="U69" s="110"/>
      <c r="V69" s="110"/>
      <c r="W69" s="203">
        <f>SUMIF([2]ACT!$U$62:$U$98,B64,[2]ACT!$R$62:$R$98)</f>
        <v>193820.93510061837</v>
      </c>
      <c r="X69" s="130"/>
      <c r="Y69" s="130"/>
      <c r="Z69" s="130"/>
      <c r="AA69" s="276"/>
      <c r="AB69" s="113"/>
      <c r="AC69" s="113"/>
      <c r="AD69" s="113"/>
      <c r="AE69" s="113"/>
      <c r="AF69" s="117"/>
      <c r="AG69" s="112"/>
      <c r="AH69" s="113"/>
      <c r="AI69" s="113"/>
      <c r="AJ69" s="114">
        <f>SUM(AJ65:AJ68)</f>
        <v>235077.38262775954</v>
      </c>
      <c r="AK69" s="118">
        <f>AJ69/[2]Popn!$B$42*1000</f>
        <v>656.47478117336129</v>
      </c>
      <c r="AL69" s="119"/>
      <c r="AM69" s="109"/>
      <c r="AN69" s="110"/>
      <c r="AO69" s="110"/>
      <c r="AP69" s="111"/>
      <c r="AQ69" s="116"/>
      <c r="AR69" s="113"/>
      <c r="AS69" s="113"/>
      <c r="AT69" s="113">
        <f>SUM(AT64:AT68)</f>
        <v>18828.664549564786</v>
      </c>
      <c r="AU69" s="120">
        <f>$AT69*I69/SUM($I69:$K69)</f>
        <v>8900.0399201946275</v>
      </c>
      <c r="AV69" s="113">
        <f>$AT69*J69/SUM($I69:$K69)</f>
        <v>7433.0925463470785</v>
      </c>
      <c r="AW69" s="114">
        <f>$AT69*K69/SUM($I69:$K69)</f>
        <v>2495.5320830230808</v>
      </c>
      <c r="AX69" s="110"/>
      <c r="AY69" s="241">
        <f>AU69</f>
        <v>8900.0399201946275</v>
      </c>
      <c r="AZ69" s="242">
        <f>AV69</f>
        <v>7433.0925463470785</v>
      </c>
      <c r="BA69" s="242">
        <f>AW69</f>
        <v>2495.5320830230808</v>
      </c>
      <c r="BB69" s="243">
        <f>AT69+AP69</f>
        <v>18828.664549564786</v>
      </c>
      <c r="BC69" s="118">
        <f>BB69/[2]Popn!$B$42*1000</f>
        <v>52.580742995317628</v>
      </c>
      <c r="BD69" s="122"/>
      <c r="BG69" s="146"/>
      <c r="BH69" s="138" t="s">
        <v>72</v>
      </c>
      <c r="BI69" s="138" t="s">
        <v>68</v>
      </c>
      <c r="BJ69" s="138" t="s">
        <v>69</v>
      </c>
      <c r="BK69" s="138" t="s">
        <v>73</v>
      </c>
      <c r="BL69" s="138" t="s">
        <v>78</v>
      </c>
      <c r="BM69" s="6"/>
      <c r="BN69" s="6"/>
      <c r="BO69" s="6"/>
      <c r="BR69" s="314"/>
      <c r="BS69" s="314"/>
      <c r="BT69" s="314"/>
      <c r="BU69" s="576" t="s">
        <v>191</v>
      </c>
      <c r="BV69" s="581">
        <f>SUM(BV66:BV68)</f>
        <v>735.31755108597088</v>
      </c>
      <c r="BW69" s="582">
        <f t="shared" ref="BW69" si="13">SUM(BW66:BW68)</f>
        <v>737.34676593468168</v>
      </c>
      <c r="BX69" s="583">
        <f t="shared" ref="BX69" si="14">SUM(BX66:BX68)</f>
        <v>739.37598078339249</v>
      </c>
      <c r="BY69" s="583">
        <f t="shared" ref="BY69" si="15">SUM(BY66:BY68)</f>
        <v>737.8645066398642</v>
      </c>
      <c r="BZ69" s="583">
        <f t="shared" ref="BZ69" si="16">SUM(BZ66:BZ68)</f>
        <v>934.37196936494695</v>
      </c>
      <c r="CA69" s="580">
        <f t="shared" si="11"/>
        <v>0.27070538162049568</v>
      </c>
      <c r="CB69" s="652">
        <f t="shared" si="12"/>
        <v>6.1722979877762985E-2</v>
      </c>
      <c r="CC69" s="317"/>
    </row>
    <row r="70" spans="1:81">
      <c r="A70" s="699"/>
      <c r="B70" s="23" t="s">
        <v>5</v>
      </c>
      <c r="C70" s="17" t="s">
        <v>26</v>
      </c>
      <c r="D70" s="57"/>
      <c r="E70" s="2"/>
      <c r="F70" s="2"/>
      <c r="G70" s="63"/>
      <c r="H70" s="2"/>
      <c r="I70" s="112"/>
      <c r="J70" s="113"/>
      <c r="K70" s="113"/>
      <c r="L70" s="22"/>
      <c r="M70" s="2"/>
      <c r="N70" s="23"/>
      <c r="O70" s="19"/>
      <c r="P70" s="19"/>
      <c r="Q70" s="19"/>
      <c r="R70" s="33"/>
      <c r="T70" s="57"/>
      <c r="U70" s="2"/>
      <c r="V70" s="2"/>
      <c r="W70" s="199"/>
      <c r="X70" s="198"/>
      <c r="Y70" s="198"/>
      <c r="Z70" s="198"/>
      <c r="AA70" s="274"/>
      <c r="AB70" s="21"/>
      <c r="AC70" s="21"/>
      <c r="AD70" s="21"/>
      <c r="AE70" s="21"/>
      <c r="AF70" s="70"/>
      <c r="AG70" s="20"/>
      <c r="AH70" s="21"/>
      <c r="AI70" s="21"/>
      <c r="AJ70" s="22"/>
      <c r="AK70" s="29"/>
      <c r="AL70" s="19"/>
      <c r="AM70" s="57"/>
      <c r="AN70" s="2"/>
      <c r="AO70" s="2"/>
      <c r="AP70" s="63"/>
      <c r="AQ70" s="68"/>
      <c r="AR70" s="21"/>
      <c r="AS70" s="21"/>
      <c r="AT70" s="21"/>
      <c r="AU70" s="240"/>
      <c r="AV70" s="19"/>
      <c r="AW70" s="195"/>
      <c r="AX70" s="2"/>
      <c r="AY70" s="238"/>
      <c r="BB70" s="19"/>
      <c r="BC70" s="24"/>
      <c r="BG70" s="147" t="s">
        <v>3</v>
      </c>
      <c r="BH70" s="52">
        <f>Q59/1000</f>
        <v>15.918066570493771</v>
      </c>
      <c r="BI70" s="52">
        <f>AJ59/1000</f>
        <v>220.01779672541699</v>
      </c>
      <c r="BJ70" s="52">
        <f>BB59/1000</f>
        <v>0</v>
      </c>
      <c r="BK70" s="137">
        <f>SUM(BI70:BJ70)/BL70</f>
        <v>0.93253222995382712</v>
      </c>
      <c r="BL70" s="52">
        <f>SUM(BH70:BJ70)</f>
        <v>235.93586329591076</v>
      </c>
      <c r="BR70" s="317"/>
      <c r="BS70" s="317"/>
      <c r="BT70" s="317"/>
      <c r="BU70" s="314"/>
      <c r="BV70" s="314"/>
      <c r="BW70" s="314"/>
      <c r="BX70" s="314"/>
      <c r="BY70" s="314"/>
      <c r="BZ70" s="649"/>
      <c r="CA70" s="314"/>
      <c r="CB70" s="328"/>
      <c r="CC70" s="314"/>
    </row>
    <row r="71" spans="1:81">
      <c r="A71" s="699"/>
      <c r="B71" s="23"/>
      <c r="C71" s="17" t="s">
        <v>27</v>
      </c>
      <c r="D71" s="57"/>
      <c r="E71" s="2"/>
      <c r="F71" s="2"/>
      <c r="G71" s="63"/>
      <c r="H71" s="2"/>
      <c r="I71" s="20"/>
      <c r="J71" s="21"/>
      <c r="K71" s="21"/>
      <c r="L71" s="22"/>
      <c r="M71" s="2"/>
      <c r="N71" s="23"/>
      <c r="O71" s="19"/>
      <c r="P71" s="19"/>
      <c r="Q71" s="19"/>
      <c r="R71" s="33"/>
      <c r="T71" s="57"/>
      <c r="U71" s="2"/>
      <c r="V71" s="2"/>
      <c r="W71" s="199"/>
      <c r="X71" s="198"/>
      <c r="Y71" s="198"/>
      <c r="Z71" s="198"/>
      <c r="AA71" s="274"/>
      <c r="AB71" s="21"/>
      <c r="AC71" s="21"/>
      <c r="AD71" s="21"/>
      <c r="AE71" s="21"/>
      <c r="AF71" s="70"/>
      <c r="AG71" s="20"/>
      <c r="AH71" s="21"/>
      <c r="AI71" s="21"/>
      <c r="AJ71" s="22"/>
      <c r="AK71" s="29"/>
      <c r="AL71" s="19"/>
      <c r="AM71" s="57"/>
      <c r="AN71" s="2"/>
      <c r="AO71" s="2"/>
      <c r="AP71" s="63"/>
      <c r="AQ71" s="68"/>
      <c r="AR71" s="21"/>
      <c r="AS71" s="21"/>
      <c r="AT71" s="21"/>
      <c r="AU71" s="240"/>
      <c r="AV71" s="19"/>
      <c r="AW71" s="195"/>
      <c r="AX71" s="2"/>
      <c r="AY71" s="238"/>
      <c r="BB71" s="19"/>
      <c r="BC71" s="24"/>
      <c r="BG71" s="147" t="s">
        <v>4</v>
      </c>
      <c r="BH71" s="52">
        <f>Q63/1000</f>
        <v>6.4755382739372456</v>
      </c>
      <c r="BI71" s="52">
        <f>AJ63/1000</f>
        <v>33.092227237778651</v>
      </c>
      <c r="BJ71" s="52">
        <f>BB63/1000</f>
        <v>0</v>
      </c>
      <c r="BK71" s="137">
        <f t="shared" ref="BK71:BK77" si="17">SUM(BI71:BJ71)/BL71</f>
        <v>0.83634308912339617</v>
      </c>
      <c r="BL71" s="52">
        <f t="shared" ref="BL71:BL78" si="18">SUM(BH71:BJ71)</f>
        <v>39.567765511715898</v>
      </c>
      <c r="BR71" s="317"/>
      <c r="BS71" s="317"/>
      <c r="BT71" s="317"/>
      <c r="BU71" s="317"/>
      <c r="BV71" s="317"/>
      <c r="BW71" s="317"/>
      <c r="BX71" s="317"/>
      <c r="BY71" s="317"/>
      <c r="BZ71" s="317"/>
      <c r="CA71" s="317"/>
      <c r="CB71" s="317"/>
      <c r="CC71" s="317"/>
    </row>
    <row r="72" spans="1:81">
      <c r="A72" s="699"/>
      <c r="B72" s="23"/>
      <c r="C72" s="17" t="s">
        <v>28</v>
      </c>
      <c r="D72" s="57"/>
      <c r="E72" s="2"/>
      <c r="F72" s="2"/>
      <c r="G72" s="63"/>
      <c r="H72" s="2"/>
      <c r="I72" s="20"/>
      <c r="J72" s="21"/>
      <c r="K72" s="21"/>
      <c r="L72" s="22"/>
      <c r="M72" s="2"/>
      <c r="N72" s="23"/>
      <c r="O72" s="19"/>
      <c r="P72" s="19"/>
      <c r="Q72" s="19"/>
      <c r="R72" s="33"/>
      <c r="T72" s="57"/>
      <c r="U72" s="2"/>
      <c r="V72" s="2"/>
      <c r="W72" s="199"/>
      <c r="X72" s="198"/>
      <c r="Y72" s="198"/>
      <c r="Z72" s="198"/>
      <c r="AA72" s="274"/>
      <c r="AB72" s="21"/>
      <c r="AC72" s="21"/>
      <c r="AD72" s="21"/>
      <c r="AE72" s="21"/>
      <c r="AF72" s="70"/>
      <c r="AG72" s="20"/>
      <c r="AH72" s="21"/>
      <c r="AI72" s="21"/>
      <c r="AJ72" s="22"/>
      <c r="AK72" s="29"/>
      <c r="AL72" s="19"/>
      <c r="AM72" s="57"/>
      <c r="AN72" s="2"/>
      <c r="AO72" s="2"/>
      <c r="AP72" s="63"/>
      <c r="AQ72" s="68"/>
      <c r="AR72" s="21"/>
      <c r="AS72" s="21"/>
      <c r="AT72" s="21"/>
      <c r="AU72" s="240"/>
      <c r="AV72" s="19"/>
      <c r="AW72" s="195"/>
      <c r="AX72" s="2"/>
      <c r="AY72" s="238"/>
      <c r="BB72" s="19"/>
      <c r="BC72" s="24"/>
      <c r="BG72" s="147" t="s">
        <v>2</v>
      </c>
      <c r="BH72" s="52">
        <f>Q69/1000</f>
        <v>53.736425255302137</v>
      </c>
      <c r="BI72" s="52">
        <f>AJ69/1000</f>
        <v>235.07738262775953</v>
      </c>
      <c r="BJ72" s="52">
        <f>BB69/1000</f>
        <v>18.828664549564785</v>
      </c>
      <c r="BK72" s="137">
        <f t="shared" si="17"/>
        <v>0.82532832729372119</v>
      </c>
      <c r="BL72" s="52">
        <f t="shared" si="18"/>
        <v>307.64247243262645</v>
      </c>
      <c r="BR72" s="317"/>
      <c r="BS72" s="317"/>
      <c r="BT72" s="317"/>
      <c r="BU72" s="317"/>
      <c r="BV72" s="317"/>
      <c r="BW72" s="317"/>
      <c r="BX72" s="317"/>
      <c r="BY72" s="317"/>
      <c r="BZ72" s="317"/>
      <c r="CA72" s="317"/>
      <c r="CB72" s="317"/>
      <c r="CC72" s="317"/>
    </row>
    <row r="73" spans="1:81">
      <c r="A73" s="699"/>
      <c r="B73" s="23"/>
      <c r="C73" s="17" t="s">
        <v>29</v>
      </c>
      <c r="D73" s="57"/>
      <c r="E73" s="2"/>
      <c r="F73" s="2"/>
      <c r="G73" s="63"/>
      <c r="H73" s="2"/>
      <c r="I73" s="20"/>
      <c r="J73" s="21"/>
      <c r="K73" s="21"/>
      <c r="L73" s="22"/>
      <c r="M73" s="2"/>
      <c r="N73" s="23"/>
      <c r="O73" s="19"/>
      <c r="P73" s="19"/>
      <c r="Q73" s="19"/>
      <c r="R73" s="33"/>
      <c r="T73" s="57"/>
      <c r="U73" s="2"/>
      <c r="V73" s="2"/>
      <c r="W73" s="199"/>
      <c r="X73" s="198"/>
      <c r="Y73" s="198"/>
      <c r="Z73" s="198"/>
      <c r="AA73" s="274"/>
      <c r="AB73" s="21"/>
      <c r="AC73" s="21"/>
      <c r="AD73" s="21"/>
      <c r="AE73" s="21"/>
      <c r="AF73" s="70"/>
      <c r="AG73" s="20"/>
      <c r="AH73" s="21"/>
      <c r="AI73" s="21"/>
      <c r="AJ73" s="22"/>
      <c r="AK73" s="29"/>
      <c r="AL73" s="19"/>
      <c r="AM73" s="57"/>
      <c r="AN73" s="2"/>
      <c r="AO73" s="2"/>
      <c r="AP73" s="63"/>
      <c r="AQ73" s="68"/>
      <c r="AR73" s="21"/>
      <c r="AS73" s="21"/>
      <c r="AT73" s="21"/>
      <c r="AU73" s="240"/>
      <c r="AV73" s="19"/>
      <c r="AW73" s="195"/>
      <c r="AX73" s="2"/>
      <c r="AY73" s="238"/>
      <c r="BB73" s="19"/>
      <c r="BC73" s="24"/>
      <c r="BG73" s="147" t="s">
        <v>5</v>
      </c>
      <c r="BH73" s="52">
        <f>Q74/1000</f>
        <v>25.417651597455777</v>
      </c>
      <c r="BI73" s="52">
        <f>AJ74/1000</f>
        <v>45.669538163859514</v>
      </c>
      <c r="BJ73" s="52">
        <f>BB74/1000</f>
        <v>6.2301000406728537</v>
      </c>
      <c r="BK73" s="137">
        <f t="shared" si="17"/>
        <v>0.67125526951926107</v>
      </c>
      <c r="BL73" s="52">
        <f t="shared" si="18"/>
        <v>77.317289801988139</v>
      </c>
      <c r="BR73" s="317"/>
      <c r="BS73" s="317"/>
      <c r="BT73" s="317"/>
      <c r="BU73" s="317"/>
      <c r="BV73" s="317"/>
      <c r="BW73" s="317"/>
      <c r="BX73" s="317"/>
      <c r="BY73" s="317"/>
      <c r="BZ73" s="317"/>
      <c r="CA73" s="317"/>
      <c r="CB73" s="317"/>
      <c r="CC73" s="317"/>
    </row>
    <row r="74" spans="1:81" s="106" customFormat="1">
      <c r="A74" s="699"/>
      <c r="B74" s="107" t="s">
        <v>67</v>
      </c>
      <c r="C74" s="108"/>
      <c r="D74" s="109"/>
      <c r="E74" s="110"/>
      <c r="F74" s="110"/>
      <c r="G74" s="111"/>
      <c r="H74" s="110"/>
      <c r="I74" s="112">
        <f>D97*[2]ACT!$J$784</f>
        <v>7956.6411192214082</v>
      </c>
      <c r="J74" s="113">
        <f>E97*[2]ACT!$J$675</f>
        <v>21566.95518248175</v>
      </c>
      <c r="K74" s="113">
        <f>F97*[2]ACT!$J$690</f>
        <v>2124.1553364254719</v>
      </c>
      <c r="L74" s="114">
        <f>SUM(I74:K74)</f>
        <v>31647.75163812863</v>
      </c>
      <c r="M74" s="110"/>
      <c r="N74" s="112">
        <f>I74-AU74</f>
        <v>6390.3159430354717</v>
      </c>
      <c r="O74" s="113">
        <f>J74-AV74</f>
        <v>17321.336413226447</v>
      </c>
      <c r="P74" s="113">
        <f>K74-AW74</f>
        <v>1705.9992411938576</v>
      </c>
      <c r="Q74" s="114">
        <f>SUM(N74:P74)</f>
        <v>25417.651597455777</v>
      </c>
      <c r="R74" s="115">
        <f>Q74/[2]Popn!$B$42*1000</f>
        <v>70.981083266536757</v>
      </c>
      <c r="T74" s="109"/>
      <c r="U74" s="110"/>
      <c r="V74" s="110"/>
      <c r="W74" s="203">
        <f>SUMIF([2]ACT!$U$62:$U$98,B70,[2]ACT!$R$62:$R$98)</f>
        <v>45669.538163859514</v>
      </c>
      <c r="X74" s="130"/>
      <c r="Y74" s="130"/>
      <c r="Z74" s="130"/>
      <c r="AA74" s="276"/>
      <c r="AB74" s="113"/>
      <c r="AC74" s="113"/>
      <c r="AD74" s="113"/>
      <c r="AE74" s="113"/>
      <c r="AF74" s="117"/>
      <c r="AG74" s="112"/>
      <c r="AH74" s="113"/>
      <c r="AI74" s="113"/>
      <c r="AJ74" s="114">
        <f>W74</f>
        <v>45669.538163859514</v>
      </c>
      <c r="AK74" s="118">
        <f>AJ74/[2]Popn!$B$42*1000</f>
        <v>127.536302034987</v>
      </c>
      <c r="AL74" s="119"/>
      <c r="AM74" s="109"/>
      <c r="AN74" s="110"/>
      <c r="AO74" s="110"/>
      <c r="AP74" s="111"/>
      <c r="AQ74" s="117"/>
      <c r="AR74" s="113">
        <f>L74*'[2]Lfill en &amp; composn'!$D$17</f>
        <v>6202.9593210732119</v>
      </c>
      <c r="AS74" s="123">
        <f>AR74/SUM($AR$54:$AR$96)</f>
        <v>0.3440642055146978</v>
      </c>
      <c r="AT74" s="113">
        <f>AS74*'[2]Lfill en &amp; composn'!$B$63/'[2]Lfill en &amp; composn'!$B$17</f>
        <v>6230.1000406728535</v>
      </c>
      <c r="AU74" s="120">
        <f>$AT74*I74/SUM($I74:$K74)</f>
        <v>1566.3251761859369</v>
      </c>
      <c r="AV74" s="113">
        <f>$AT74*J74/SUM($I74:$K74)</f>
        <v>4245.6187692553031</v>
      </c>
      <c r="AW74" s="114">
        <f>$AT74*K74/SUM($I74:$K74)</f>
        <v>418.15609523161424</v>
      </c>
      <c r="AX74" s="110"/>
      <c r="AY74" s="241">
        <f>AU74</f>
        <v>1566.3251761859369</v>
      </c>
      <c r="AZ74" s="242">
        <f>AV74</f>
        <v>4245.6187692553031</v>
      </c>
      <c r="BA74" s="242">
        <f>AW74</f>
        <v>418.15609523161424</v>
      </c>
      <c r="BB74" s="114">
        <f>AT74+AP74</f>
        <v>6230.1000406728535</v>
      </c>
      <c r="BC74" s="118">
        <f>BB74/[2]Popn!$B$42*1000</f>
        <v>17.398115953014262</v>
      </c>
      <c r="BD74" s="122"/>
      <c r="BG74" s="147" t="s">
        <v>6</v>
      </c>
      <c r="BH74" s="52">
        <f>Q84/1000</f>
        <v>22.229105660395344</v>
      </c>
      <c r="BI74" s="52">
        <f>AJ84/1000</f>
        <v>1.909</v>
      </c>
      <c r="BJ74" s="52">
        <f>BB84/1000</f>
        <v>0</v>
      </c>
      <c r="BK74" s="137">
        <f t="shared" si="17"/>
        <v>7.9086570705181575E-2</v>
      </c>
      <c r="BL74" s="52">
        <f t="shared" si="18"/>
        <v>24.138105660395343</v>
      </c>
      <c r="BM74" s="6"/>
      <c r="BN74" s="6"/>
      <c r="BO74" s="6"/>
      <c r="BR74" s="314"/>
      <c r="BS74" s="314"/>
      <c r="BT74" s="317"/>
      <c r="BU74" s="317"/>
      <c r="BV74" s="317"/>
      <c r="BW74" s="317"/>
      <c r="BX74" s="317"/>
      <c r="BY74" s="317"/>
      <c r="BZ74" s="317"/>
      <c r="CA74" s="317"/>
      <c r="CB74" s="317"/>
      <c r="CC74" s="317"/>
    </row>
    <row r="75" spans="1:81">
      <c r="A75" s="699"/>
      <c r="B75" s="23" t="s">
        <v>6</v>
      </c>
      <c r="C75" s="17" t="s">
        <v>30</v>
      </c>
      <c r="D75" s="57"/>
      <c r="E75" s="2"/>
      <c r="F75" s="2"/>
      <c r="G75" s="63"/>
      <c r="H75" s="2"/>
      <c r="I75" s="112"/>
      <c r="J75" s="113"/>
      <c r="K75" s="113"/>
      <c r="L75" s="22"/>
      <c r="M75" s="2"/>
      <c r="N75" s="23"/>
      <c r="O75" s="19"/>
      <c r="P75" s="19"/>
      <c r="Q75" s="19"/>
      <c r="R75" s="33"/>
      <c r="T75" s="57"/>
      <c r="U75" s="2"/>
      <c r="V75" s="2"/>
      <c r="W75" s="199">
        <f>SUMIF([2]ACT!$T$62:$T$98,C75,[2]ACT!$R$62:$R$98)</f>
        <v>559.01140927572851</v>
      </c>
      <c r="X75" s="198"/>
      <c r="Y75" s="198"/>
      <c r="Z75" s="198"/>
      <c r="AA75" s="274"/>
      <c r="AB75" s="21"/>
      <c r="AC75" s="21"/>
      <c r="AD75" s="21"/>
      <c r="AE75" s="21"/>
      <c r="AF75" s="70"/>
      <c r="AG75" s="20"/>
      <c r="AH75" s="21"/>
      <c r="AI75" s="21"/>
      <c r="AJ75" s="22">
        <f>W75</f>
        <v>559.01140927572851</v>
      </c>
      <c r="AK75" s="29"/>
      <c r="AL75" s="19"/>
      <c r="AM75" s="57"/>
      <c r="AN75" s="2"/>
      <c r="AO75" s="2"/>
      <c r="AP75" s="63"/>
      <c r="AQ75" s="68"/>
      <c r="AR75" s="21"/>
      <c r="AS75" s="21"/>
      <c r="AT75" s="21"/>
      <c r="AU75" s="240"/>
      <c r="AV75" s="19"/>
      <c r="AW75" s="195"/>
      <c r="AX75" s="2"/>
      <c r="AY75" s="238"/>
      <c r="BB75" s="19"/>
      <c r="BC75" s="24"/>
      <c r="BG75" s="147" t="s">
        <v>8</v>
      </c>
      <c r="BH75" s="52">
        <f>Q85/1000</f>
        <v>5.7332690336197487</v>
      </c>
      <c r="BI75" s="52">
        <f>AJ85/1000</f>
        <v>14.963139524520814</v>
      </c>
      <c r="BJ75" s="52">
        <f>BB85/1000</f>
        <v>0</v>
      </c>
      <c r="BK75" s="137">
        <f t="shared" si="17"/>
        <v>0.72298241902628713</v>
      </c>
      <c r="BL75" s="52">
        <f t="shared" si="18"/>
        <v>20.696408558140561</v>
      </c>
      <c r="BR75" s="317"/>
      <c r="BS75" s="317"/>
      <c r="BT75" s="317"/>
      <c r="BU75" s="317"/>
      <c r="BV75" s="317"/>
      <c r="BW75" s="317"/>
      <c r="BX75" s="317"/>
      <c r="BY75" s="317"/>
      <c r="BZ75" s="317"/>
      <c r="CA75" s="317"/>
      <c r="CB75" s="317"/>
      <c r="CC75" s="314"/>
    </row>
    <row r="76" spans="1:81">
      <c r="A76" s="699"/>
      <c r="B76" s="23"/>
      <c r="C76" s="17" t="s">
        <v>31</v>
      </c>
      <c r="D76" s="57"/>
      <c r="E76" s="2"/>
      <c r="F76" s="2"/>
      <c r="G76" s="63"/>
      <c r="H76" s="2"/>
      <c r="I76" s="20"/>
      <c r="J76" s="21"/>
      <c r="K76" s="21"/>
      <c r="L76" s="22"/>
      <c r="M76" s="2"/>
      <c r="N76" s="23"/>
      <c r="O76" s="19"/>
      <c r="P76" s="19"/>
      <c r="Q76" s="19"/>
      <c r="R76" s="33"/>
      <c r="T76" s="57"/>
      <c r="U76" s="2"/>
      <c r="V76" s="2"/>
      <c r="W76" s="199">
        <f>SUMIF([2]ACT!$T$62:$T$98,C76,[2]ACT!$R$62:$R$98)</f>
        <v>514.43314697303879</v>
      </c>
      <c r="X76" s="198"/>
      <c r="Y76" s="198"/>
      <c r="Z76" s="198"/>
      <c r="AA76" s="274"/>
      <c r="AB76" s="21"/>
      <c r="AC76" s="21"/>
      <c r="AD76" s="21"/>
      <c r="AE76" s="21"/>
      <c r="AF76" s="70"/>
      <c r="AG76" s="20"/>
      <c r="AH76" s="21"/>
      <c r="AI76" s="21"/>
      <c r="AJ76" s="22">
        <f>W76</f>
        <v>514.43314697303879</v>
      </c>
      <c r="AK76" s="29"/>
      <c r="AL76" s="19"/>
      <c r="AM76" s="57"/>
      <c r="AN76" s="2"/>
      <c r="AO76" s="2"/>
      <c r="AP76" s="63"/>
      <c r="AQ76" s="68"/>
      <c r="AR76" s="21"/>
      <c r="AS76" s="21"/>
      <c r="AT76" s="21"/>
      <c r="AU76" s="240"/>
      <c r="AV76" s="19"/>
      <c r="AW76" s="195"/>
      <c r="AX76" s="2"/>
      <c r="AY76" s="238"/>
      <c r="BB76" s="19"/>
      <c r="BC76" s="24"/>
      <c r="BG76" s="147" t="s">
        <v>7</v>
      </c>
      <c r="BH76" s="52">
        <f>Q88/1000</f>
        <v>18.357185981360487</v>
      </c>
      <c r="BI76" s="52">
        <f>AJ88/1000</f>
        <v>6.4014384666662369</v>
      </c>
      <c r="BJ76" s="52">
        <f>BB88/1000</f>
        <v>4.6144242609785939</v>
      </c>
      <c r="BK76" s="137">
        <f t="shared" si="17"/>
        <v>0.37503300514622911</v>
      </c>
      <c r="BL76" s="52">
        <f t="shared" si="18"/>
        <v>29.373048709005317</v>
      </c>
      <c r="BR76" s="317"/>
      <c r="BS76" s="317"/>
      <c r="BT76" s="325"/>
      <c r="BU76" s="317"/>
      <c r="BV76" s="317"/>
      <c r="BW76" s="317"/>
      <c r="BX76" s="317"/>
      <c r="BY76" s="317"/>
      <c r="BZ76" s="317"/>
      <c r="CA76" s="317"/>
      <c r="CB76" s="317"/>
      <c r="CC76" s="317"/>
    </row>
    <row r="77" spans="1:81">
      <c r="A77" s="699"/>
      <c r="B77" s="23"/>
      <c r="C77" s="17" t="s">
        <v>32</v>
      </c>
      <c r="D77" s="57"/>
      <c r="E77" s="2"/>
      <c r="F77" s="2"/>
      <c r="G77" s="63"/>
      <c r="H77" s="2"/>
      <c r="I77" s="20"/>
      <c r="J77" s="21"/>
      <c r="K77" s="21"/>
      <c r="L77" s="22"/>
      <c r="M77" s="2"/>
      <c r="N77" s="23"/>
      <c r="O77" s="19"/>
      <c r="P77" s="19"/>
      <c r="Q77" s="19"/>
      <c r="R77" s="33"/>
      <c r="T77" s="57"/>
      <c r="U77" s="2"/>
      <c r="V77" s="2"/>
      <c r="W77" s="199"/>
      <c r="X77" s="198"/>
      <c r="Y77" s="198"/>
      <c r="Z77" s="198"/>
      <c r="AA77" s="274"/>
      <c r="AB77" s="21"/>
      <c r="AC77" s="21"/>
      <c r="AD77" s="21"/>
      <c r="AE77" s="21"/>
      <c r="AF77" s="70"/>
      <c r="AG77" s="20"/>
      <c r="AH77" s="21"/>
      <c r="AI77" s="21"/>
      <c r="AJ77" s="22"/>
      <c r="AK77" s="29"/>
      <c r="AL77" s="19"/>
      <c r="AM77" s="57"/>
      <c r="AN77" s="2"/>
      <c r="AO77" s="2"/>
      <c r="AP77" s="63"/>
      <c r="AQ77" s="68"/>
      <c r="AR77" s="21"/>
      <c r="AS77" s="21"/>
      <c r="AT77" s="21"/>
      <c r="AU77" s="240"/>
      <c r="AV77" s="19"/>
      <c r="AW77" s="195"/>
      <c r="AX77" s="2"/>
      <c r="AY77" s="238"/>
      <c r="BB77" s="19"/>
      <c r="BC77" s="24"/>
      <c r="BG77" s="147" t="s">
        <v>11</v>
      </c>
      <c r="BH77" s="52">
        <f>Q93/1000</f>
        <v>0.46803771289537699</v>
      </c>
      <c r="BI77" s="52">
        <f>AJ93/1000</f>
        <v>0</v>
      </c>
      <c r="BJ77" s="52">
        <f>BB93/1000</f>
        <v>0</v>
      </c>
      <c r="BK77" s="137">
        <f t="shared" si="17"/>
        <v>0</v>
      </c>
      <c r="BL77" s="52">
        <f t="shared" si="18"/>
        <v>0.46803771289537699</v>
      </c>
      <c r="BR77" s="317"/>
      <c r="BS77" s="317"/>
      <c r="BT77" s="326"/>
      <c r="BU77" s="325"/>
      <c r="BV77" s="317"/>
      <c r="BW77" s="317"/>
      <c r="BX77" s="317"/>
      <c r="BY77" s="317"/>
      <c r="BZ77" s="317"/>
      <c r="CA77" s="317"/>
      <c r="CB77" s="317"/>
      <c r="CC77" s="317"/>
    </row>
    <row r="78" spans="1:81" s="90" customFormat="1">
      <c r="A78" s="699"/>
      <c r="B78" s="91" t="s">
        <v>42</v>
      </c>
      <c r="C78" s="92"/>
      <c r="D78" s="93"/>
      <c r="E78" s="94"/>
      <c r="F78" s="94"/>
      <c r="G78" s="95"/>
      <c r="H78" s="94"/>
      <c r="I78" s="96"/>
      <c r="J78" s="97"/>
      <c r="K78" s="97"/>
      <c r="L78" s="98"/>
      <c r="M78" s="94"/>
      <c r="N78" s="96"/>
      <c r="O78" s="97"/>
      <c r="P78" s="97"/>
      <c r="Q78" s="97"/>
      <c r="R78" s="99"/>
      <c r="T78" s="93"/>
      <c r="U78" s="94"/>
      <c r="V78" s="94"/>
      <c r="W78" s="199"/>
      <c r="X78" s="289"/>
      <c r="Y78" s="289"/>
      <c r="Z78" s="289"/>
      <c r="AA78" s="280"/>
      <c r="AB78" s="97"/>
      <c r="AC78" s="97"/>
      <c r="AD78" s="97"/>
      <c r="AE78" s="97"/>
      <c r="AF78" s="101"/>
      <c r="AG78" s="96"/>
      <c r="AH78" s="97"/>
      <c r="AI78" s="97"/>
      <c r="AJ78" s="98"/>
      <c r="AK78" s="102"/>
      <c r="AL78" s="103"/>
      <c r="AM78" s="93"/>
      <c r="AN78" s="94"/>
      <c r="AO78" s="94"/>
      <c r="AP78" s="95"/>
      <c r="AQ78" s="100"/>
      <c r="AR78" s="97"/>
      <c r="AS78" s="128"/>
      <c r="AT78" s="128"/>
      <c r="AU78" s="104"/>
      <c r="AV78" s="97"/>
      <c r="AW78" s="98"/>
      <c r="AX78" s="94"/>
      <c r="AY78" s="239"/>
      <c r="BB78" s="97"/>
      <c r="BC78" s="105"/>
      <c r="BG78" s="147" t="s">
        <v>1</v>
      </c>
      <c r="BH78" s="52">
        <f>Q94/1000</f>
        <v>0</v>
      </c>
      <c r="BI78" s="52">
        <f>AJ94/1000</f>
        <v>0</v>
      </c>
      <c r="BJ78" s="52">
        <f>BB94/1000</f>
        <v>0</v>
      </c>
      <c r="BK78" s="137">
        <v>0</v>
      </c>
      <c r="BL78" s="52">
        <f t="shared" si="18"/>
        <v>0</v>
      </c>
      <c r="BM78" s="6"/>
      <c r="BN78" s="6"/>
      <c r="BO78" s="6"/>
      <c r="BR78" s="334"/>
      <c r="BS78" s="334"/>
      <c r="BT78" s="328"/>
      <c r="BU78" s="326"/>
      <c r="BV78" s="317"/>
      <c r="BW78" s="317"/>
      <c r="BX78" s="317"/>
      <c r="BY78" s="317"/>
      <c r="BZ78" s="317"/>
      <c r="CA78" s="317"/>
      <c r="CB78" s="317"/>
      <c r="CC78" s="317"/>
    </row>
    <row r="79" spans="1:81">
      <c r="A79" s="699"/>
      <c r="B79" s="23"/>
      <c r="C79" s="17" t="s">
        <v>33</v>
      </c>
      <c r="D79" s="57"/>
      <c r="E79" s="2"/>
      <c r="F79" s="2"/>
      <c r="G79" s="63"/>
      <c r="H79" s="2"/>
      <c r="I79" s="20"/>
      <c r="J79" s="21"/>
      <c r="K79" s="21"/>
      <c r="L79" s="22"/>
      <c r="M79" s="2"/>
      <c r="N79" s="23"/>
      <c r="O79" s="19"/>
      <c r="P79" s="19"/>
      <c r="Q79" s="19"/>
      <c r="R79" s="33"/>
      <c r="T79" s="57"/>
      <c r="U79" s="2"/>
      <c r="V79" s="2"/>
      <c r="W79" s="199"/>
      <c r="X79" s="198"/>
      <c r="Y79" s="198"/>
      <c r="Z79" s="198"/>
      <c r="AA79" s="274"/>
      <c r="AB79" s="21"/>
      <c r="AC79" s="21"/>
      <c r="AD79" s="21"/>
      <c r="AE79" s="21"/>
      <c r="AF79" s="70"/>
      <c r="AG79" s="20"/>
      <c r="AH79" s="21"/>
      <c r="AI79" s="21"/>
      <c r="AJ79" s="22"/>
      <c r="AK79" s="29"/>
      <c r="AL79" s="19"/>
      <c r="AM79" s="57"/>
      <c r="AN79" s="2"/>
      <c r="AO79" s="2"/>
      <c r="AP79" s="63"/>
      <c r="AQ79" s="68"/>
      <c r="AR79" s="21"/>
      <c r="AS79" s="21"/>
      <c r="AT79" s="21"/>
      <c r="AU79" s="240"/>
      <c r="AV79" s="19"/>
      <c r="AW79" s="195"/>
      <c r="AX79" s="2"/>
      <c r="AY79" s="238"/>
      <c r="BB79" s="19"/>
      <c r="BC79" s="24"/>
      <c r="BG79" s="142"/>
      <c r="BR79" s="317"/>
      <c r="BS79" s="317"/>
      <c r="BT79" s="328"/>
      <c r="BU79" s="329"/>
      <c r="BV79" s="317"/>
      <c r="BW79" s="317"/>
      <c r="BX79" s="317"/>
      <c r="BY79" s="317"/>
      <c r="BZ79" s="317"/>
      <c r="CA79" s="317"/>
      <c r="CB79" s="317"/>
      <c r="CC79" s="334"/>
    </row>
    <row r="80" spans="1:81">
      <c r="A80" s="699"/>
      <c r="B80" s="23"/>
      <c r="C80" s="17" t="s">
        <v>34</v>
      </c>
      <c r="D80" s="57"/>
      <c r="E80" s="2"/>
      <c r="F80" s="2"/>
      <c r="G80" s="63"/>
      <c r="H80" s="2"/>
      <c r="I80" s="20"/>
      <c r="J80" s="21"/>
      <c r="K80" s="21"/>
      <c r="L80" s="22"/>
      <c r="M80" s="2"/>
      <c r="N80" s="23"/>
      <c r="O80" s="19"/>
      <c r="P80" s="19"/>
      <c r="Q80" s="19"/>
      <c r="R80" s="33"/>
      <c r="T80" s="57"/>
      <c r="U80" s="2"/>
      <c r="V80" s="2"/>
      <c r="W80" s="199"/>
      <c r="X80" s="198"/>
      <c r="Y80" s="198"/>
      <c r="Z80" s="198"/>
      <c r="AA80" s="274"/>
      <c r="AB80" s="21"/>
      <c r="AC80" s="21"/>
      <c r="AD80" s="21"/>
      <c r="AE80" s="21"/>
      <c r="AF80" s="70"/>
      <c r="AG80" s="20"/>
      <c r="AH80" s="21"/>
      <c r="AI80" s="21"/>
      <c r="AJ80" s="22"/>
      <c r="AK80" s="29"/>
      <c r="AL80" s="19"/>
      <c r="AM80" s="57"/>
      <c r="AN80" s="2"/>
      <c r="AO80" s="2"/>
      <c r="AP80" s="63"/>
      <c r="AQ80" s="68"/>
      <c r="AR80" s="21"/>
      <c r="AS80" s="21"/>
      <c r="AT80" s="21"/>
      <c r="AU80" s="240"/>
      <c r="AV80" s="19"/>
      <c r="AW80" s="195"/>
      <c r="AX80" s="2"/>
      <c r="AY80" s="238"/>
      <c r="BB80" s="19"/>
      <c r="BC80" s="24"/>
      <c r="BR80" s="317"/>
      <c r="BS80" s="317"/>
      <c r="BT80" s="317"/>
      <c r="BU80" s="329"/>
      <c r="BV80" s="317"/>
      <c r="BW80" s="317"/>
      <c r="BX80" s="317"/>
      <c r="BY80" s="317"/>
      <c r="BZ80" s="317"/>
      <c r="CA80" s="317"/>
      <c r="CB80" s="317"/>
      <c r="CC80" s="317"/>
    </row>
    <row r="81" spans="1:81">
      <c r="A81" s="699"/>
      <c r="B81" s="23"/>
      <c r="C81" s="17" t="s">
        <v>35</v>
      </c>
      <c r="D81" s="57"/>
      <c r="E81" s="2"/>
      <c r="F81" s="2"/>
      <c r="G81" s="63"/>
      <c r="H81" s="2"/>
      <c r="I81" s="20"/>
      <c r="J81" s="21"/>
      <c r="K81" s="21"/>
      <c r="L81" s="22"/>
      <c r="M81" s="2"/>
      <c r="N81" s="23"/>
      <c r="O81" s="19"/>
      <c r="P81" s="19"/>
      <c r="Q81" s="19"/>
      <c r="R81" s="33"/>
      <c r="T81" s="57"/>
      <c r="U81" s="2"/>
      <c r="V81" s="2"/>
      <c r="W81" s="199"/>
      <c r="X81" s="198"/>
      <c r="Y81" s="198"/>
      <c r="Z81" s="198"/>
      <c r="AA81" s="274"/>
      <c r="AB81" s="21"/>
      <c r="AC81" s="21"/>
      <c r="AD81" s="21"/>
      <c r="AE81" s="21"/>
      <c r="AF81" s="70"/>
      <c r="AG81" s="20"/>
      <c r="AH81" s="21"/>
      <c r="AI81" s="21"/>
      <c r="AJ81" s="22"/>
      <c r="AK81" s="29"/>
      <c r="AL81" s="19"/>
      <c r="AM81" s="57"/>
      <c r="AN81" s="2"/>
      <c r="AO81" s="2"/>
      <c r="AP81" s="63"/>
      <c r="AQ81" s="68"/>
      <c r="AR81" s="21"/>
      <c r="AS81" s="21"/>
      <c r="AT81" s="21"/>
      <c r="AU81" s="240"/>
      <c r="AV81" s="19"/>
      <c r="AW81" s="195"/>
      <c r="AX81" s="2"/>
      <c r="AY81" s="238"/>
      <c r="BB81" s="19"/>
      <c r="BC81" s="24"/>
      <c r="BR81" s="317"/>
      <c r="BS81" s="317"/>
      <c r="BT81" s="314"/>
      <c r="BU81" s="317"/>
      <c r="BV81" s="317"/>
      <c r="BW81" s="317"/>
      <c r="BX81" s="317"/>
      <c r="BY81" s="317"/>
      <c r="BZ81" s="317"/>
      <c r="CA81" s="317"/>
      <c r="CB81" s="317"/>
      <c r="CC81" s="317"/>
    </row>
    <row r="82" spans="1:81">
      <c r="A82" s="699"/>
      <c r="B82" s="23"/>
      <c r="C82" s="17" t="s">
        <v>36</v>
      </c>
      <c r="D82" s="57"/>
      <c r="E82" s="2"/>
      <c r="F82" s="2"/>
      <c r="G82" s="63"/>
      <c r="H82" s="2"/>
      <c r="I82" s="20"/>
      <c r="J82" s="21"/>
      <c r="K82" s="21"/>
      <c r="L82" s="22"/>
      <c r="M82" s="2"/>
      <c r="N82" s="23"/>
      <c r="O82" s="19"/>
      <c r="P82" s="19"/>
      <c r="Q82" s="19"/>
      <c r="R82" s="33"/>
      <c r="T82" s="57"/>
      <c r="U82" s="2"/>
      <c r="V82" s="2"/>
      <c r="W82" s="199"/>
      <c r="X82" s="198"/>
      <c r="Y82" s="198"/>
      <c r="Z82" s="198"/>
      <c r="AA82" s="274"/>
      <c r="AB82" s="21"/>
      <c r="AC82" s="21"/>
      <c r="AD82" s="21"/>
      <c r="AE82" s="21"/>
      <c r="AF82" s="70"/>
      <c r="AG82" s="20"/>
      <c r="AH82" s="21"/>
      <c r="AI82" s="21"/>
      <c r="AJ82" s="22"/>
      <c r="AK82" s="29"/>
      <c r="AL82" s="19"/>
      <c r="AM82" s="57"/>
      <c r="AN82" s="2"/>
      <c r="AO82" s="2"/>
      <c r="AP82" s="63"/>
      <c r="AQ82" s="68"/>
      <c r="AR82" s="21"/>
      <c r="AS82" s="21"/>
      <c r="AT82" s="21"/>
      <c r="AU82" s="240"/>
      <c r="AV82" s="19"/>
      <c r="AW82" s="195"/>
      <c r="AX82" s="2"/>
      <c r="AY82" s="238"/>
      <c r="BB82" s="19"/>
      <c r="BC82" s="24"/>
      <c r="BR82" s="317"/>
      <c r="BS82" s="317"/>
      <c r="BT82" s="317"/>
      <c r="BU82" s="314"/>
      <c r="BV82" s="314"/>
      <c r="BW82" s="314"/>
      <c r="BX82" s="314"/>
      <c r="BY82" s="314"/>
      <c r="BZ82" s="314"/>
      <c r="CA82" s="314"/>
      <c r="CB82" s="314"/>
      <c r="CC82" s="317"/>
    </row>
    <row r="83" spans="1:81" s="90" customFormat="1">
      <c r="A83" s="699"/>
      <c r="B83" s="91" t="s">
        <v>43</v>
      </c>
      <c r="C83" s="92"/>
      <c r="D83" s="93"/>
      <c r="E83" s="94"/>
      <c r="F83" s="94"/>
      <c r="G83" s="95"/>
      <c r="H83" s="94"/>
      <c r="I83" s="96"/>
      <c r="J83" s="97"/>
      <c r="K83" s="97"/>
      <c r="L83" s="98"/>
      <c r="M83" s="94"/>
      <c r="N83" s="96"/>
      <c r="O83" s="97"/>
      <c r="P83" s="97"/>
      <c r="Q83" s="97"/>
      <c r="R83" s="99"/>
      <c r="T83" s="93"/>
      <c r="U83" s="94"/>
      <c r="V83" s="94"/>
      <c r="W83" s="199"/>
      <c r="X83" s="289"/>
      <c r="Y83" s="289"/>
      <c r="Z83" s="289"/>
      <c r="AA83" s="280"/>
      <c r="AB83" s="97"/>
      <c r="AC83" s="97"/>
      <c r="AD83" s="97"/>
      <c r="AE83" s="97"/>
      <c r="AF83" s="101"/>
      <c r="AG83" s="96"/>
      <c r="AH83" s="97"/>
      <c r="AI83" s="97"/>
      <c r="AJ83" s="98"/>
      <c r="AK83" s="102"/>
      <c r="AL83" s="103"/>
      <c r="AM83" s="93"/>
      <c r="AN83" s="94"/>
      <c r="AO83" s="94"/>
      <c r="AP83" s="95"/>
      <c r="AQ83" s="100"/>
      <c r="AR83" s="97"/>
      <c r="AS83" s="97"/>
      <c r="AT83" s="97"/>
      <c r="AU83" s="104"/>
      <c r="AV83" s="97"/>
      <c r="AW83" s="98"/>
      <c r="AX83" s="94"/>
      <c r="AY83" s="239"/>
      <c r="BB83" s="97"/>
      <c r="BC83" s="105"/>
      <c r="BG83" s="143"/>
      <c r="BR83" s="334"/>
      <c r="BS83" s="334"/>
      <c r="BT83" s="317"/>
      <c r="BU83" s="317"/>
      <c r="BV83" s="317"/>
      <c r="BW83" s="317"/>
      <c r="BX83" s="317"/>
      <c r="BY83" s="317"/>
      <c r="BZ83" s="317"/>
      <c r="CA83" s="317"/>
      <c r="CB83" s="317"/>
      <c r="CC83" s="317"/>
    </row>
    <row r="84" spans="1:81" s="106" customFormat="1">
      <c r="A84" s="699"/>
      <c r="B84" s="107" t="s">
        <v>67</v>
      </c>
      <c r="C84" s="108"/>
      <c r="D84" s="109"/>
      <c r="E84" s="110"/>
      <c r="F84" s="110"/>
      <c r="G84" s="111"/>
      <c r="H84" s="110"/>
      <c r="I84" s="112">
        <f>D97*[2]ACT!$J$785</f>
        <v>6686.2530413625282</v>
      </c>
      <c r="J84" s="113">
        <f>E97*[2]ACT!$J$676</f>
        <v>13536.705912408761</v>
      </c>
      <c r="K84" s="113">
        <f>F97*[2]ACT!$J$691</f>
        <v>2006.1467066240564</v>
      </c>
      <c r="L84" s="114">
        <f>SUM(I84:K84)</f>
        <v>22229.105660395344</v>
      </c>
      <c r="M84" s="110"/>
      <c r="N84" s="112">
        <f t="shared" ref="N84:P85" si="19">I84-AU84</f>
        <v>6686.2530413625282</v>
      </c>
      <c r="O84" s="113">
        <f t="shared" si="19"/>
        <v>13536.705912408761</v>
      </c>
      <c r="P84" s="113">
        <f t="shared" si="19"/>
        <v>2006.1467066240564</v>
      </c>
      <c r="Q84" s="114">
        <f>SUM(N84:P84)</f>
        <v>22229.105660395344</v>
      </c>
      <c r="R84" s="115">
        <f>Q84/[2]Popn!$B$42*1000</f>
        <v>62.076781317558947</v>
      </c>
      <c r="T84" s="202"/>
      <c r="U84" s="130"/>
      <c r="V84" s="130"/>
      <c r="W84" s="203"/>
      <c r="X84" s="130">
        <f>[2]PACIA!$C$18*[2]PACIA!I18</f>
        <v>1223.6690000000001</v>
      </c>
      <c r="Y84" s="130">
        <f>[2]PACIA!$C$18*[2]PACIA!J18</f>
        <v>685.33100000000002</v>
      </c>
      <c r="Z84" s="130">
        <f>[2]PACIA!$C$18*[2]PACIA!K18</f>
        <v>0</v>
      </c>
      <c r="AA84" s="276"/>
      <c r="AB84" s="113"/>
      <c r="AC84" s="113"/>
      <c r="AD84" s="113"/>
      <c r="AE84" s="113"/>
      <c r="AF84" s="117"/>
      <c r="AG84" s="112"/>
      <c r="AH84" s="113"/>
      <c r="AI84" s="113"/>
      <c r="AJ84" s="114">
        <f>SUM(X84:Z84)</f>
        <v>1909</v>
      </c>
      <c r="AK84" s="118">
        <f>AJ84/[2]Popn!$B$42*1000</f>
        <v>5.3310545797780176</v>
      </c>
      <c r="AL84" s="119"/>
      <c r="AM84" s="109"/>
      <c r="AN84" s="110"/>
      <c r="AO84" s="110"/>
      <c r="AP84" s="111"/>
      <c r="AQ84" s="116"/>
      <c r="AR84" s="113"/>
      <c r="AS84" s="113"/>
      <c r="AT84" s="113"/>
      <c r="AU84" s="120"/>
      <c r="AV84" s="113"/>
      <c r="AW84" s="114"/>
      <c r="AX84" s="110"/>
      <c r="AY84" s="237"/>
      <c r="BB84" s="113"/>
      <c r="BC84" s="118"/>
      <c r="BG84" s="144"/>
      <c r="BR84" s="314"/>
      <c r="BS84" s="314"/>
      <c r="BT84" s="317"/>
      <c r="BU84" s="317"/>
      <c r="BV84" s="317"/>
      <c r="BW84" s="317"/>
      <c r="BX84" s="317"/>
      <c r="BY84" s="317"/>
      <c r="BZ84" s="317"/>
      <c r="CA84" s="317"/>
      <c r="CB84" s="317"/>
      <c r="CC84" s="334"/>
    </row>
    <row r="85" spans="1:81" s="106" customFormat="1">
      <c r="A85" s="699"/>
      <c r="B85" s="37" t="s">
        <v>8</v>
      </c>
      <c r="C85" s="129" t="s">
        <v>8</v>
      </c>
      <c r="D85" s="109"/>
      <c r="E85" s="110"/>
      <c r="F85" s="110"/>
      <c r="G85" s="111"/>
      <c r="H85" s="110"/>
      <c r="I85" s="112">
        <f>D97*[2]ACT!$J$786</f>
        <v>2540.7761557177605</v>
      </c>
      <c r="J85" s="113">
        <f>E97*[2]ACT!$J$677</f>
        <v>2661.4540437956202</v>
      </c>
      <c r="K85" s="113">
        <f>F97*[2]ACT!$J$692</f>
        <v>531.03883410636797</v>
      </c>
      <c r="L85" s="114">
        <f>SUM(I85:K85)</f>
        <v>5733.2690336197484</v>
      </c>
      <c r="M85" s="110"/>
      <c r="N85" s="112">
        <f t="shared" si="19"/>
        <v>2540.7761557177605</v>
      </c>
      <c r="O85" s="113">
        <f t="shared" si="19"/>
        <v>2661.4540437956202</v>
      </c>
      <c r="P85" s="113">
        <f t="shared" si="19"/>
        <v>531.03883410636797</v>
      </c>
      <c r="Q85" s="114">
        <f>SUM(N85:P85)</f>
        <v>5733.2690336197484</v>
      </c>
      <c r="R85" s="115">
        <f>Q85/[2]Popn!$B$42*1000</f>
        <v>16.010670580816157</v>
      </c>
      <c r="T85" s="109"/>
      <c r="U85" s="110"/>
      <c r="V85" s="110"/>
      <c r="W85" s="203">
        <f>SUMIF([2]ACT!$T$62:$T$98,C85,[2]ACT!$R$62:$R$98)</f>
        <v>14963.139524520815</v>
      </c>
      <c r="X85" s="198"/>
      <c r="Y85" s="198"/>
      <c r="Z85" s="198"/>
      <c r="AA85" s="276"/>
      <c r="AB85" s="113"/>
      <c r="AC85" s="113"/>
      <c r="AD85" s="113"/>
      <c r="AE85" s="113"/>
      <c r="AF85" s="117"/>
      <c r="AG85" s="112"/>
      <c r="AH85" s="113"/>
      <c r="AI85" s="113"/>
      <c r="AJ85" s="114">
        <f>W85</f>
        <v>14963.139524520815</v>
      </c>
      <c r="AK85" s="118">
        <f>AJ85/[2]Popn!$B$42*1000</f>
        <v>41.785915919357862</v>
      </c>
      <c r="AL85" s="119"/>
      <c r="AM85" s="109"/>
      <c r="AN85" s="110"/>
      <c r="AO85" s="110"/>
      <c r="AP85" s="111"/>
      <c r="AQ85" s="116"/>
      <c r="AR85" s="113"/>
      <c r="AS85" s="113"/>
      <c r="AT85" s="113"/>
      <c r="AU85" s="120"/>
      <c r="AV85" s="113"/>
      <c r="AW85" s="114"/>
      <c r="AX85" s="110"/>
      <c r="AY85" s="237"/>
      <c r="BB85" s="113"/>
      <c r="BC85" s="121"/>
      <c r="BG85" s="144"/>
      <c r="BR85" s="314"/>
      <c r="BS85" s="314"/>
      <c r="BT85" s="314"/>
      <c r="BU85" s="317"/>
      <c r="BV85" s="317"/>
      <c r="BW85" s="317"/>
      <c r="BX85" s="317"/>
      <c r="BY85" s="317"/>
      <c r="BZ85" s="317"/>
      <c r="CA85" s="317"/>
      <c r="CB85" s="317"/>
      <c r="CC85" s="314"/>
    </row>
    <row r="86" spans="1:81">
      <c r="A86" s="699"/>
      <c r="B86" s="23" t="s">
        <v>7</v>
      </c>
      <c r="C86" s="17" t="s">
        <v>9</v>
      </c>
      <c r="D86" s="57"/>
      <c r="E86" s="2"/>
      <c r="F86" s="2"/>
      <c r="G86" s="63"/>
      <c r="H86" s="2"/>
      <c r="I86" s="112"/>
      <c r="J86" s="113"/>
      <c r="K86" s="113"/>
      <c r="L86" s="22"/>
      <c r="M86" s="2"/>
      <c r="N86" s="20"/>
      <c r="O86" s="21"/>
      <c r="P86" s="21"/>
      <c r="Q86" s="22"/>
      <c r="R86" s="34"/>
      <c r="T86" s="57"/>
      <c r="U86" s="2"/>
      <c r="V86" s="2"/>
      <c r="W86" s="199">
        <f>SUMIF([2]ACT!$T$62:$T$98,C86,[2]ACT!$R$62:$R$98)</f>
        <v>4171.633786285699</v>
      </c>
      <c r="X86" s="198"/>
      <c r="Y86" s="198"/>
      <c r="Z86" s="198"/>
      <c r="AA86" s="274"/>
      <c r="AB86" s="21"/>
      <c r="AC86" s="21"/>
      <c r="AD86" s="21"/>
      <c r="AE86" s="21"/>
      <c r="AF86" s="70"/>
      <c r="AG86" s="20"/>
      <c r="AH86" s="21"/>
      <c r="AI86" s="21"/>
      <c r="AJ86" s="22">
        <f>W86</f>
        <v>4171.633786285699</v>
      </c>
      <c r="AK86" s="29">
        <f>AJ86/[2]Popn!$B$42*1000</f>
        <v>11.649663384774797</v>
      </c>
      <c r="AL86" s="19"/>
      <c r="AM86" s="57"/>
      <c r="AN86" s="2"/>
      <c r="AO86" s="2"/>
      <c r="AP86" s="63"/>
      <c r="AQ86" s="68"/>
      <c r="AR86" s="21"/>
      <c r="AS86" s="35"/>
      <c r="AT86" s="21">
        <f>AS86*'[2]Lfill en &amp; composn'!$B$63/'[2]Lfill en &amp; composn'!$B$25</f>
        <v>0</v>
      </c>
      <c r="AU86" s="25"/>
      <c r="AV86" s="21"/>
      <c r="AW86" s="22"/>
      <c r="AX86" s="2"/>
      <c r="AY86" s="238"/>
      <c r="BB86" s="21"/>
      <c r="BC86" s="29"/>
      <c r="BR86" s="337"/>
      <c r="BS86" s="337"/>
      <c r="BT86" s="337"/>
      <c r="BU86" s="314"/>
      <c r="BV86" s="314"/>
      <c r="BW86" s="314"/>
      <c r="BX86" s="314"/>
      <c r="BY86" s="314"/>
      <c r="BZ86" s="314"/>
      <c r="CA86" s="314"/>
      <c r="CB86" s="314"/>
      <c r="CC86" s="314"/>
    </row>
    <row r="87" spans="1:81">
      <c r="A87" s="699"/>
      <c r="B87" s="23"/>
      <c r="C87" s="17" t="s">
        <v>10</v>
      </c>
      <c r="D87" s="57"/>
      <c r="E87" s="2"/>
      <c r="F87" s="2"/>
      <c r="G87" s="63"/>
      <c r="H87" s="2"/>
      <c r="I87" s="20"/>
      <c r="J87" s="21"/>
      <c r="K87" s="21"/>
      <c r="L87" s="22"/>
      <c r="M87" s="2"/>
      <c r="N87" s="20"/>
      <c r="O87" s="21"/>
      <c r="P87" s="21"/>
      <c r="Q87" s="22"/>
      <c r="R87" s="33"/>
      <c r="T87" s="57"/>
      <c r="U87" s="2"/>
      <c r="V87" s="2"/>
      <c r="W87" s="199">
        <f>SUMIF([2]ACT!$T$62:$T$98,C87,[2]ACT!$R$62:$R$98)</f>
        <v>2229.8046803805378</v>
      </c>
      <c r="X87" s="198"/>
      <c r="Y87" s="198"/>
      <c r="Z87" s="198"/>
      <c r="AA87" s="274"/>
      <c r="AB87" s="21"/>
      <c r="AC87" s="21"/>
      <c r="AD87" s="21"/>
      <c r="AE87" s="21"/>
      <c r="AF87" s="70"/>
      <c r="AG87" s="20"/>
      <c r="AH87" s="21"/>
      <c r="AI87" s="21"/>
      <c r="AJ87" s="22">
        <f>W87</f>
        <v>2229.8046803805378</v>
      </c>
      <c r="AK87" s="29">
        <f>AJ87/[2]Popn!$B$42*1000</f>
        <v>6.2269305674977069</v>
      </c>
      <c r="AL87" s="19"/>
      <c r="AM87" s="57"/>
      <c r="AN87" s="2"/>
      <c r="AO87" s="2"/>
      <c r="AP87" s="63"/>
      <c r="AQ87" s="68"/>
      <c r="AR87" s="21"/>
      <c r="AS87" s="21"/>
      <c r="AT87" s="21"/>
      <c r="AU87" s="240"/>
      <c r="AV87" s="21"/>
      <c r="AW87" s="195"/>
      <c r="AX87" s="2"/>
      <c r="AY87" s="238"/>
      <c r="BB87" s="21"/>
      <c r="BC87" s="29"/>
      <c r="BR87" s="337"/>
      <c r="BS87" s="337"/>
      <c r="BT87" s="337"/>
      <c r="BU87" s="338" t="s">
        <v>2</v>
      </c>
      <c r="BV87" s="337"/>
      <c r="BW87" s="337"/>
      <c r="BX87" s="337"/>
      <c r="BY87" s="337"/>
      <c r="BZ87" s="337"/>
      <c r="CA87" s="337"/>
      <c r="CB87" s="337"/>
      <c r="CC87" s="337"/>
    </row>
    <row r="88" spans="1:81" s="106" customFormat="1">
      <c r="A88" s="699"/>
      <c r="B88" s="107" t="s">
        <v>67</v>
      </c>
      <c r="C88" s="108"/>
      <c r="D88" s="109"/>
      <c r="E88" s="110"/>
      <c r="F88" s="110"/>
      <c r="G88" s="111"/>
      <c r="H88" s="110"/>
      <c r="I88" s="112">
        <f>D97*[2]ACT!$J$787</f>
        <v>3744.3017031630161</v>
      </c>
      <c r="J88" s="113">
        <f>E97*[2]ACT!$J$678</f>
        <v>13857.915883211679</v>
      </c>
      <c r="K88" s="113">
        <f>F97*[2]ACT!$J$693</f>
        <v>5369.392655964386</v>
      </c>
      <c r="L88" s="114">
        <f>SUM(I88:K88)</f>
        <v>22971.610242339084</v>
      </c>
      <c r="M88" s="110"/>
      <c r="N88" s="112">
        <f>I88-AU88</f>
        <v>2992.1647638180284</v>
      </c>
      <c r="O88" s="113">
        <f>J88-AV88</f>
        <v>11074.205791342158</v>
      </c>
      <c r="P88" s="113">
        <f>K88-AW88</f>
        <v>4290.8154262003018</v>
      </c>
      <c r="Q88" s="114">
        <f>SUM(N88:P88)</f>
        <v>18357.185981360486</v>
      </c>
      <c r="R88" s="115">
        <f>Q88/[2]Popn!$B$42*1000</f>
        <v>51.264096593907084</v>
      </c>
      <c r="T88" s="109"/>
      <c r="U88" s="110"/>
      <c r="V88" s="110"/>
      <c r="W88" s="203">
        <f>SUM(W86:W87)</f>
        <v>6401.4384666662372</v>
      </c>
      <c r="X88" s="130"/>
      <c r="Y88" s="130"/>
      <c r="Z88" s="130"/>
      <c r="AA88" s="276"/>
      <c r="AB88" s="113"/>
      <c r="AC88" s="113"/>
      <c r="AD88" s="113"/>
      <c r="AE88" s="113"/>
      <c r="AF88" s="117"/>
      <c r="AG88" s="112"/>
      <c r="AH88" s="113"/>
      <c r="AI88" s="113"/>
      <c r="AJ88" s="114">
        <f>W88</f>
        <v>6401.4384666662372</v>
      </c>
      <c r="AK88" s="118">
        <f>AJ88/[2]Popn!$B$42*1000</f>
        <v>17.876593952272504</v>
      </c>
      <c r="AL88" s="119"/>
      <c r="AM88" s="109"/>
      <c r="AN88" s="110"/>
      <c r="AO88" s="110"/>
      <c r="AP88" s="111"/>
      <c r="AQ88" s="116"/>
      <c r="AR88" s="113">
        <f>L88*'[2]Lfill en &amp; composn'!$D$25</f>
        <v>3618.0286131684056</v>
      </c>
      <c r="AS88" s="123">
        <f>AR88/SUM($AR$54:$AR$96)</f>
        <v>0.20068391164362095</v>
      </c>
      <c r="AT88" s="113">
        <f>AS88*'[2]Lfill en &amp; composn'!$B$63/'[2]Lfill en &amp; composn'!$B$25</f>
        <v>4614.4242609785942</v>
      </c>
      <c r="AU88" s="120">
        <f>$AT88*I88/SUM($I88:$K88)</f>
        <v>752.13693934498792</v>
      </c>
      <c r="AV88" s="113">
        <f>$AT88*J88/SUM($I88:$K88)</f>
        <v>2783.7100918695214</v>
      </c>
      <c r="AW88" s="114">
        <f>$AT88*K88/SUM($I88:$K88)</f>
        <v>1078.5772297640842</v>
      </c>
      <c r="AX88" s="110"/>
      <c r="AY88" s="241">
        <f>AU88</f>
        <v>752.13693934498792</v>
      </c>
      <c r="AZ88" s="242">
        <f>AV88</f>
        <v>2783.7100918695214</v>
      </c>
      <c r="BA88" s="242">
        <f>AW88</f>
        <v>1078.5772297640842</v>
      </c>
      <c r="BB88" s="114">
        <f>AT88+AP88</f>
        <v>4614.4242609785942</v>
      </c>
      <c r="BC88" s="118">
        <f>BB88/[2]Popn!$B$42*1000</f>
        <v>12.886195699072145</v>
      </c>
      <c r="BD88" s="122"/>
      <c r="BG88" s="144"/>
      <c r="BR88" s="340"/>
      <c r="BS88" s="340"/>
      <c r="BT88" s="340"/>
      <c r="BU88" s="337"/>
      <c r="BV88" s="339" t="s">
        <v>72</v>
      </c>
      <c r="BW88" s="339" t="s">
        <v>68</v>
      </c>
      <c r="BX88" s="339" t="s">
        <v>69</v>
      </c>
      <c r="BY88" s="337"/>
      <c r="BZ88" s="337"/>
      <c r="CA88" s="337"/>
      <c r="CB88" s="337"/>
      <c r="CC88" s="337"/>
    </row>
    <row r="89" spans="1:81">
      <c r="A89" s="699"/>
      <c r="B89" s="23" t="s">
        <v>11</v>
      </c>
      <c r="C89" s="17" t="s">
        <v>12</v>
      </c>
      <c r="D89" s="57"/>
      <c r="E89" s="2"/>
      <c r="F89" s="2"/>
      <c r="G89" s="63"/>
      <c r="H89" s="2"/>
      <c r="I89" s="112"/>
      <c r="J89" s="21"/>
      <c r="K89" s="21"/>
      <c r="L89" s="22"/>
      <c r="M89" s="2"/>
      <c r="N89" s="20"/>
      <c r="O89" s="21"/>
      <c r="P89" s="21"/>
      <c r="Q89" s="22"/>
      <c r="R89" s="33"/>
      <c r="T89" s="57"/>
      <c r="U89" s="2"/>
      <c r="V89" s="2"/>
      <c r="W89" s="199"/>
      <c r="X89" s="198"/>
      <c r="Y89" s="198"/>
      <c r="Z89" s="198"/>
      <c r="AA89" s="274"/>
      <c r="AB89" s="21"/>
      <c r="AC89" s="21"/>
      <c r="AD89" s="21"/>
      <c r="AE89" s="21"/>
      <c r="AF89" s="70"/>
      <c r="AG89" s="20"/>
      <c r="AH89" s="21"/>
      <c r="AI89" s="21"/>
      <c r="AJ89" s="22"/>
      <c r="AK89" s="29"/>
      <c r="AL89" s="19"/>
      <c r="AM89" s="57"/>
      <c r="AN89" s="2"/>
      <c r="AO89" s="2"/>
      <c r="AP89" s="63"/>
      <c r="AQ89" s="68"/>
      <c r="AR89" s="21"/>
      <c r="AS89" s="21"/>
      <c r="AT89" s="21"/>
      <c r="AU89" s="25"/>
      <c r="AV89" s="21"/>
      <c r="AW89" s="22"/>
      <c r="AX89" s="2"/>
      <c r="AY89" s="23"/>
      <c r="AZ89" s="19"/>
      <c r="BA89" s="19"/>
      <c r="BB89" s="19"/>
      <c r="BC89" s="24"/>
      <c r="BR89" s="337"/>
      <c r="BS89" s="340"/>
      <c r="BT89" s="340"/>
      <c r="BU89" s="349" t="s">
        <v>100</v>
      </c>
      <c r="BV89" s="341">
        <f>BH166</f>
        <v>64.927419990627385</v>
      </c>
      <c r="BW89" s="341">
        <f>BI166</f>
        <v>271.44221668875298</v>
      </c>
      <c r="BX89" s="341">
        <f>BJ166</f>
        <v>25.302363931114431</v>
      </c>
      <c r="BY89" s="340"/>
      <c r="BZ89" s="340"/>
      <c r="CA89" s="340"/>
      <c r="CB89" s="340"/>
      <c r="CC89" s="340"/>
    </row>
    <row r="90" spans="1:81">
      <c r="A90" s="699"/>
      <c r="B90" s="23"/>
      <c r="C90" s="17" t="s">
        <v>13</v>
      </c>
      <c r="D90" s="57"/>
      <c r="E90" s="2"/>
      <c r="F90" s="2"/>
      <c r="G90" s="156"/>
      <c r="H90" s="3"/>
      <c r="I90" s="20"/>
      <c r="J90" s="21"/>
      <c r="K90" s="21"/>
      <c r="L90" s="22"/>
      <c r="M90" s="83"/>
      <c r="N90" s="20"/>
      <c r="O90" s="21"/>
      <c r="P90" s="21"/>
      <c r="Q90" s="22"/>
      <c r="R90" s="34">
        <f>Q90/[2]Popn!$B$42*1000</f>
        <v>0</v>
      </c>
      <c r="T90" s="57"/>
      <c r="U90" s="2"/>
      <c r="V90" s="2"/>
      <c r="W90" s="199"/>
      <c r="X90" s="198"/>
      <c r="Y90" s="198"/>
      <c r="Z90" s="198"/>
      <c r="AA90" s="282"/>
      <c r="AB90" s="21"/>
      <c r="AC90" s="21"/>
      <c r="AD90" s="21"/>
      <c r="AE90" s="21"/>
      <c r="AF90" s="70"/>
      <c r="AG90" s="20"/>
      <c r="AH90" s="21"/>
      <c r="AI90" s="21"/>
      <c r="AJ90" s="22"/>
      <c r="AK90" s="29"/>
      <c r="AL90" s="19"/>
      <c r="AM90" s="57"/>
      <c r="AN90" s="2"/>
      <c r="AO90" s="2"/>
      <c r="AP90" s="64"/>
      <c r="AQ90" s="69"/>
      <c r="AR90" s="21"/>
      <c r="AS90" s="21"/>
      <c r="AT90" s="21"/>
      <c r="AU90" s="25"/>
      <c r="AV90" s="21"/>
      <c r="AW90" s="22"/>
      <c r="AX90" s="2"/>
      <c r="AY90" s="20"/>
      <c r="AZ90" s="21"/>
      <c r="BA90" s="21"/>
      <c r="BB90" s="21"/>
      <c r="BC90" s="24"/>
      <c r="BR90" s="337"/>
      <c r="BS90" s="348"/>
      <c r="BT90" s="347" t="s">
        <v>107</v>
      </c>
      <c r="BU90" s="350" t="s">
        <v>104</v>
      </c>
      <c r="BV90" s="313">
        <f>AVERAGE(BV89,BV91)</f>
        <v>62.349960798638925</v>
      </c>
      <c r="BW90" s="313">
        <f>AVERAGE(BW89,BW91)</f>
        <v>258.16898234923752</v>
      </c>
      <c r="BX90" s="313">
        <f>AVERAGE(BX89,BX91)</f>
        <v>22.83241607341504</v>
      </c>
      <c r="BY90" s="337"/>
      <c r="BZ90" s="337"/>
      <c r="CA90" s="337"/>
      <c r="CB90" s="337"/>
      <c r="CC90" s="337"/>
    </row>
    <row r="91" spans="1:81">
      <c r="A91" s="699"/>
      <c r="B91" s="23"/>
      <c r="C91" s="17" t="s">
        <v>14</v>
      </c>
      <c r="D91" s="57"/>
      <c r="E91" s="2"/>
      <c r="F91" s="2"/>
      <c r="G91" s="156"/>
      <c r="H91" s="3"/>
      <c r="I91" s="20"/>
      <c r="J91" s="21"/>
      <c r="K91" s="21"/>
      <c r="L91" s="22"/>
      <c r="M91" s="83"/>
      <c r="N91" s="20"/>
      <c r="O91" s="21"/>
      <c r="P91" s="21"/>
      <c r="Q91" s="22"/>
      <c r="R91" s="34">
        <f>Q91/[2]Popn!$B$42*1000</f>
        <v>0</v>
      </c>
      <c r="T91" s="57"/>
      <c r="U91" s="2"/>
      <c r="V91" s="2"/>
      <c r="W91" s="199"/>
      <c r="X91" s="198"/>
      <c r="Y91" s="198"/>
      <c r="Z91" s="198"/>
      <c r="AA91" s="282"/>
      <c r="AB91" s="21"/>
      <c r="AC91" s="21"/>
      <c r="AD91" s="21"/>
      <c r="AE91" s="21"/>
      <c r="AF91" s="70"/>
      <c r="AG91" s="20"/>
      <c r="AH91" s="21"/>
      <c r="AI91" s="21"/>
      <c r="AJ91" s="22"/>
      <c r="AK91" s="29"/>
      <c r="AL91" s="19"/>
      <c r="AM91" s="57"/>
      <c r="AN91" s="2"/>
      <c r="AO91" s="2"/>
      <c r="AP91" s="64"/>
      <c r="AQ91" s="69"/>
      <c r="AR91" s="21"/>
      <c r="AS91" s="21"/>
      <c r="AT91" s="21"/>
      <c r="AU91" s="25"/>
      <c r="AV91" s="21"/>
      <c r="AW91" s="22"/>
      <c r="AX91" s="2"/>
      <c r="AY91" s="23"/>
      <c r="AZ91" s="19"/>
      <c r="BA91" s="19"/>
      <c r="BB91" s="21"/>
      <c r="BC91" s="24"/>
      <c r="BR91" s="337"/>
      <c r="BS91" s="337"/>
      <c r="BT91" s="337"/>
      <c r="BU91" s="351" t="s">
        <v>101</v>
      </c>
      <c r="BV91" s="341">
        <f>BH119</f>
        <v>59.772501606650465</v>
      </c>
      <c r="BW91" s="341">
        <f>BI119</f>
        <v>244.89574800972207</v>
      </c>
      <c r="BX91" s="341">
        <f>BJ119</f>
        <v>20.362468215715648</v>
      </c>
      <c r="BY91" s="337"/>
      <c r="BZ91" s="337"/>
      <c r="CA91" s="337"/>
      <c r="CB91" s="337"/>
      <c r="CC91" s="337"/>
    </row>
    <row r="92" spans="1:81">
      <c r="A92" s="699"/>
      <c r="B92" s="23"/>
      <c r="C92" s="17" t="s">
        <v>15</v>
      </c>
      <c r="D92" s="57"/>
      <c r="E92" s="2"/>
      <c r="F92" s="2"/>
      <c r="G92" s="156"/>
      <c r="H92" s="3"/>
      <c r="I92" s="20"/>
      <c r="J92" s="21"/>
      <c r="K92" s="21"/>
      <c r="L92" s="22"/>
      <c r="M92" s="83"/>
      <c r="N92" s="20"/>
      <c r="O92" s="21"/>
      <c r="P92" s="21"/>
      <c r="Q92" s="22"/>
      <c r="R92" s="34">
        <f>Q92/[2]Popn!$B$42*1000</f>
        <v>0</v>
      </c>
      <c r="T92" s="57"/>
      <c r="U92" s="2"/>
      <c r="V92" s="2"/>
      <c r="W92" s="199"/>
      <c r="X92" s="198"/>
      <c r="Y92" s="198"/>
      <c r="Z92" s="198"/>
      <c r="AA92" s="282"/>
      <c r="AB92" s="21"/>
      <c r="AC92" s="21"/>
      <c r="AD92" s="21"/>
      <c r="AE92" s="21"/>
      <c r="AF92" s="70"/>
      <c r="AG92" s="20"/>
      <c r="AH92" s="21"/>
      <c r="AI92" s="21"/>
      <c r="AJ92" s="22"/>
      <c r="AK92" s="29"/>
      <c r="AL92" s="19"/>
      <c r="AM92" s="57"/>
      <c r="AN92" s="2"/>
      <c r="AO92" s="2"/>
      <c r="AP92" s="64"/>
      <c r="AQ92" s="69"/>
      <c r="AR92" s="21"/>
      <c r="AS92" s="21"/>
      <c r="AT92" s="21"/>
      <c r="AU92" s="25"/>
      <c r="AV92" s="21"/>
      <c r="AW92" s="22"/>
      <c r="AX92" s="2"/>
      <c r="AY92" s="23"/>
      <c r="AZ92" s="19"/>
      <c r="BA92" s="19"/>
      <c r="BB92" s="21"/>
      <c r="BC92" s="24"/>
      <c r="BR92" s="337"/>
      <c r="BS92" s="337"/>
      <c r="BT92" s="337"/>
      <c r="BU92" s="352" t="s">
        <v>102</v>
      </c>
      <c r="BV92" s="341">
        <f>BH72</f>
        <v>53.736425255302137</v>
      </c>
      <c r="BW92" s="341">
        <f>BI72</f>
        <v>235.07738262775953</v>
      </c>
      <c r="BX92" s="341">
        <f>BJ72</f>
        <v>18.828664549564785</v>
      </c>
      <c r="BY92" s="337"/>
      <c r="BZ92" s="337"/>
      <c r="CA92" s="337"/>
      <c r="CB92" s="337"/>
      <c r="CC92" s="337"/>
    </row>
    <row r="93" spans="1:81" s="106" customFormat="1">
      <c r="A93" s="699"/>
      <c r="B93" s="107" t="s">
        <v>67</v>
      </c>
      <c r="C93" s="108"/>
      <c r="D93" s="109"/>
      <c r="E93" s="110"/>
      <c r="F93" s="110"/>
      <c r="G93" s="124"/>
      <c r="H93" s="125"/>
      <c r="I93" s="112">
        <f>D97*[2]ACT!$J$788</f>
        <v>468.03771289537701</v>
      </c>
      <c r="J93" s="113"/>
      <c r="K93" s="113"/>
      <c r="L93" s="114"/>
      <c r="M93" s="110"/>
      <c r="N93" s="112">
        <f>I93-AU93</f>
        <v>468.03771289537701</v>
      </c>
      <c r="O93" s="113">
        <f>J93-AV93</f>
        <v>0</v>
      </c>
      <c r="P93" s="113">
        <f>K93-AW93</f>
        <v>0</v>
      </c>
      <c r="Q93" s="114">
        <f>SUM(N93:P93)</f>
        <v>468.03771289537701</v>
      </c>
      <c r="R93" s="115">
        <f>Q93/[2]Popn!$B$42*1000</f>
        <v>1.3070375027971337</v>
      </c>
      <c r="T93" s="109"/>
      <c r="U93" s="110"/>
      <c r="V93" s="110"/>
      <c r="W93" s="203"/>
      <c r="X93" s="130"/>
      <c r="Y93" s="130"/>
      <c r="Z93" s="130"/>
      <c r="AA93" s="284"/>
      <c r="AB93" s="113"/>
      <c r="AC93" s="113"/>
      <c r="AD93" s="113"/>
      <c r="AE93" s="113"/>
      <c r="AF93" s="117"/>
      <c r="AG93" s="112"/>
      <c r="AH93" s="113"/>
      <c r="AI93" s="113"/>
      <c r="AJ93" s="114">
        <f>W93</f>
        <v>0</v>
      </c>
      <c r="AK93" s="118">
        <f>AJ93/[2]Popn!$B$42*1000</f>
        <v>0</v>
      </c>
      <c r="AL93" s="119"/>
      <c r="AM93" s="109"/>
      <c r="AN93" s="110"/>
      <c r="AO93" s="110"/>
      <c r="AP93" s="124"/>
      <c r="AQ93" s="126"/>
      <c r="AR93" s="113"/>
      <c r="AS93" s="113"/>
      <c r="AT93" s="113"/>
      <c r="AU93" s="120"/>
      <c r="AV93" s="113"/>
      <c r="AW93" s="114"/>
      <c r="AX93" s="110"/>
      <c r="AY93" s="127"/>
      <c r="AZ93" s="119"/>
      <c r="BA93" s="119"/>
      <c r="BB93" s="113"/>
      <c r="BC93" s="121"/>
      <c r="BG93" s="144"/>
      <c r="BR93" s="340"/>
      <c r="BS93" s="340"/>
      <c r="BT93" s="340"/>
      <c r="BU93" s="351" t="s">
        <v>103</v>
      </c>
      <c r="BV93" s="341">
        <f>BH25</f>
        <v>73.797147717449846</v>
      </c>
      <c r="BW93" s="341">
        <f>BI25</f>
        <v>327.17314519137472</v>
      </c>
      <c r="BX93" s="341">
        <f>BJ25</f>
        <v>19.880605909833569</v>
      </c>
      <c r="BY93" s="337"/>
      <c r="BZ93" s="337"/>
      <c r="CA93" s="337"/>
      <c r="CB93" s="337"/>
      <c r="CC93" s="337"/>
    </row>
    <row r="94" spans="1:81" s="106" customFormat="1" ht="13.5" thickBot="1">
      <c r="A94" s="699"/>
      <c r="B94" s="131" t="s">
        <v>37</v>
      </c>
      <c r="C94" s="132" t="s">
        <v>1</v>
      </c>
      <c r="D94" s="109"/>
      <c r="E94" s="110"/>
      <c r="F94" s="110"/>
      <c r="G94" s="203"/>
      <c r="H94" s="130"/>
      <c r="I94" s="112"/>
      <c r="J94" s="113"/>
      <c r="K94" s="113"/>
      <c r="L94" s="114"/>
      <c r="M94" s="110"/>
      <c r="N94" s="127"/>
      <c r="O94" s="119"/>
      <c r="P94" s="119"/>
      <c r="Q94" s="113">
        <f>H94</f>
        <v>0</v>
      </c>
      <c r="R94" s="115">
        <f>Q94/[2]Popn!$B$42*1000</f>
        <v>0</v>
      </c>
      <c r="T94" s="109"/>
      <c r="U94" s="110"/>
      <c r="V94" s="110"/>
      <c r="W94" s="203"/>
      <c r="X94" s="130"/>
      <c r="Y94" s="130"/>
      <c r="Z94" s="130"/>
      <c r="AA94" s="285"/>
      <c r="AB94" s="113"/>
      <c r="AC94" s="113"/>
      <c r="AD94" s="113"/>
      <c r="AE94" s="113"/>
      <c r="AF94" s="117"/>
      <c r="AG94" s="112"/>
      <c r="AH94" s="113"/>
      <c r="AI94" s="113"/>
      <c r="AJ94" s="114">
        <f>W94</f>
        <v>0</v>
      </c>
      <c r="AK94" s="118">
        <f>AJ94/[2]Popn!$B$42*1000</f>
        <v>0</v>
      </c>
      <c r="AL94" s="119"/>
      <c r="AM94" s="109"/>
      <c r="AN94" s="110"/>
      <c r="AO94" s="110"/>
      <c r="AP94" s="111"/>
      <c r="AQ94" s="117"/>
      <c r="AR94" s="113"/>
      <c r="AS94" s="113"/>
      <c r="AT94" s="113"/>
      <c r="AU94" s="120"/>
      <c r="AV94" s="113"/>
      <c r="AW94" s="114"/>
      <c r="AX94" s="110"/>
      <c r="AY94" s="127"/>
      <c r="AZ94" s="119"/>
      <c r="BA94" s="119"/>
      <c r="BB94" s="119"/>
      <c r="BC94" s="121"/>
      <c r="BG94" s="144"/>
      <c r="BR94" s="340"/>
      <c r="BS94" s="340"/>
      <c r="BT94" s="340"/>
      <c r="BU94" s="340"/>
      <c r="BV94" s="340"/>
      <c r="BW94" s="340"/>
      <c r="BX94" s="340"/>
      <c r="BY94" s="340"/>
      <c r="BZ94" s="340"/>
      <c r="CA94" s="340"/>
      <c r="CB94" s="340"/>
      <c r="CC94" s="340"/>
    </row>
    <row r="95" spans="1:81" ht="13.5" thickBot="1">
      <c r="B95" s="19"/>
      <c r="C95" s="38"/>
      <c r="D95" s="57"/>
      <c r="E95" s="2"/>
      <c r="F95" s="2"/>
      <c r="G95" s="63"/>
      <c r="H95" s="2"/>
      <c r="I95" s="20"/>
      <c r="J95" s="21"/>
      <c r="K95" s="21"/>
      <c r="L95" s="22"/>
      <c r="M95" s="2"/>
      <c r="N95" s="23"/>
      <c r="O95" s="19"/>
      <c r="P95" s="19"/>
      <c r="Q95" s="19"/>
      <c r="R95" s="24"/>
      <c r="T95" s="57"/>
      <c r="U95" s="2"/>
      <c r="V95" s="2"/>
      <c r="W95" s="63"/>
      <c r="X95" s="2"/>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19"/>
      <c r="BC95" s="24"/>
      <c r="BR95" s="337"/>
      <c r="BS95" s="337"/>
      <c r="BT95" s="337"/>
      <c r="BU95" s="340"/>
      <c r="BV95" s="340"/>
      <c r="BW95" s="340"/>
      <c r="BX95" s="340"/>
      <c r="BY95" s="340"/>
      <c r="BZ95" s="340"/>
      <c r="CA95" s="340"/>
      <c r="CB95" s="340"/>
      <c r="CC95" s="340"/>
    </row>
    <row r="96" spans="1:81" ht="13.5" thickBot="1">
      <c r="C96" s="39" t="s">
        <v>88</v>
      </c>
      <c r="D96" s="58"/>
      <c r="E96" s="59"/>
      <c r="F96" s="2"/>
      <c r="G96" s="208"/>
      <c r="H96" s="2"/>
      <c r="I96" s="20"/>
      <c r="J96" s="21"/>
      <c r="K96" s="21"/>
      <c r="L96" s="22"/>
      <c r="M96" s="2"/>
      <c r="N96" s="23"/>
      <c r="O96" s="19"/>
      <c r="P96" s="19"/>
      <c r="Q96" s="19"/>
      <c r="R96" s="24"/>
      <c r="T96" s="58"/>
      <c r="U96" s="59"/>
      <c r="V96" s="2"/>
      <c r="W96" s="199">
        <f>SUMIF([2]ACT!$T$62:$T$98,C96,[2]ACT!$R$62:$R$98)</f>
        <v>2725.5149571864467</v>
      </c>
      <c r="X96" s="198"/>
      <c r="Y96" s="198"/>
      <c r="Z96" s="198"/>
      <c r="AA96" s="274"/>
      <c r="AB96" s="21"/>
      <c r="AC96" s="21"/>
      <c r="AD96" s="21"/>
      <c r="AE96" s="21"/>
      <c r="AF96" s="70"/>
      <c r="AG96" s="20"/>
      <c r="AH96" s="21"/>
      <c r="AI96" s="21"/>
      <c r="AJ96" s="22">
        <f>W96</f>
        <v>2725.5149571864467</v>
      </c>
      <c r="AK96" s="29">
        <f>AJ96/[2]Popn!$B$42*1000</f>
        <v>7.6112461994564136</v>
      </c>
      <c r="AL96" s="19"/>
      <c r="AM96" s="58"/>
      <c r="AN96" s="59"/>
      <c r="AO96" s="2"/>
      <c r="AP96" s="65"/>
      <c r="AQ96" s="68"/>
      <c r="AR96" s="21"/>
      <c r="AS96" s="21"/>
      <c r="AT96" s="21"/>
      <c r="AU96" s="25"/>
      <c r="AV96" s="21"/>
      <c r="AW96" s="22"/>
      <c r="AX96" s="2"/>
      <c r="AY96" s="23"/>
      <c r="AZ96" s="19"/>
      <c r="BA96" s="19"/>
      <c r="BB96" s="19"/>
      <c r="BC96" s="24"/>
      <c r="BR96" s="337"/>
      <c r="BS96" s="337"/>
      <c r="BT96" s="337"/>
      <c r="BU96" s="337"/>
      <c r="BV96" s="337"/>
      <c r="BW96" s="337"/>
      <c r="BX96" s="337"/>
      <c r="BY96" s="337"/>
      <c r="BZ96" s="337"/>
      <c r="CA96" s="337"/>
      <c r="CB96" s="337"/>
      <c r="CC96" s="337"/>
    </row>
    <row r="97" spans="1:81" ht="13.5" thickBot="1">
      <c r="C97" s="135" t="s">
        <v>92</v>
      </c>
      <c r="D97" s="134">
        <f>[2]ACT!$N$55</f>
        <v>58571.576642335756</v>
      </c>
      <c r="E97" s="134">
        <f>[2]ACT!$N$53</f>
        <v>91774.277372262775</v>
      </c>
      <c r="F97" s="226">
        <f>[2]ACT!$N$54</f>
        <v>34635.53284671533</v>
      </c>
      <c r="G97" s="66">
        <f>[2]ACT!$N$52</f>
        <v>184981.38686131386</v>
      </c>
      <c r="H97" s="231"/>
      <c r="I97" s="41">
        <f>SUM(I93,I88,I85,I84,I74,I69,I63,I59)</f>
        <v>58571.576642335742</v>
      </c>
      <c r="J97" s="218">
        <f>SUM(J93,J88,J85,J84,J74,J69,J63,J59)</f>
        <v>84801.359447625044</v>
      </c>
      <c r="K97" s="218">
        <f>SUM(K93,K88,K85,K84,K74,K69,K63,K59)</f>
        <v>34635.53284671533</v>
      </c>
      <c r="L97" s="42">
        <f>SUM(L93,L88,L85,L84,L74,L69,L63,L59)</f>
        <v>177540.43122378073</v>
      </c>
      <c r="M97" s="43"/>
      <c r="N97" s="44">
        <f>SUM(N93,N88,N85,N84,N74,N69,N63,N59)</f>
        <v>47353.074606610193</v>
      </c>
      <c r="O97" s="45">
        <f>SUM(O93,O88,O85,O84,O74,O69,O63,O59)</f>
        <v>70338.938040153138</v>
      </c>
      <c r="P97" s="45">
        <f>SUM(P93,P88,P85,P84,P74,P69,P63,P59)</f>
        <v>30643.267438696548</v>
      </c>
      <c r="Q97" s="133">
        <f>SUM(Q93,Q88,Q85,Q84,Q74,Q69,Q63,Q59)</f>
        <v>148335.28008545988</v>
      </c>
      <c r="R97" s="27">
        <f>SUM(R93,R88,R85,R84,R74,R69,R63,R59)</f>
        <v>414.23964077645144</v>
      </c>
      <c r="T97" s="60"/>
      <c r="U97" s="134"/>
      <c r="V97" s="134"/>
      <c r="W97" s="66">
        <f>SUM(W59,W63,W69,W74,W84,W85,W88,W96)</f>
        <v>516690.59017604712</v>
      </c>
      <c r="X97" s="288"/>
      <c r="Y97" s="288"/>
      <c r="Z97" s="288"/>
      <c r="AA97" s="287"/>
      <c r="AB97" s="45"/>
      <c r="AC97" s="45"/>
      <c r="AD97" s="45"/>
      <c r="AE97" s="45"/>
      <c r="AF97" s="85"/>
      <c r="AG97" s="44"/>
      <c r="AH97" s="45"/>
      <c r="AI97" s="45"/>
      <c r="AJ97" s="354">
        <f>SUM(AJ93,AJ88,AJ85,AJ84,AJ74,AJ69,AJ63,AJ59,AJ96)</f>
        <v>559856.03770318814</v>
      </c>
      <c r="AK97" s="27">
        <f>SUM(AK93,AK88,AK85,AK84,AK74,AK69,AK63,AK59,AK96)</f>
        <v>1563.4484514478552</v>
      </c>
      <c r="AL97" s="19"/>
      <c r="AM97" s="60"/>
      <c r="AN97" s="706"/>
      <c r="AO97" s="707"/>
      <c r="AP97" s="66"/>
      <c r="AQ97" s="71"/>
      <c r="AR97" s="45">
        <f>SUM(AR54:AR96)</f>
        <v>18028.493582452105</v>
      </c>
      <c r="AS97" s="46">
        <f>SUM(AS54:AS96)</f>
        <v>1</v>
      </c>
      <c r="AT97" s="45">
        <f>SUM(AT54:AT96)</f>
        <v>48501.853400781023</v>
      </c>
      <c r="AU97" s="47"/>
      <c r="AV97" s="45"/>
      <c r="AW97" s="214"/>
      <c r="AX97" s="43"/>
      <c r="AY97" s="44">
        <f>SUM(AY93,AY88,AY85,AY84,AY74,AY69,AY63,AY59)</f>
        <v>11218.502035725553</v>
      </c>
      <c r="AZ97" s="45">
        <f>SUM(AZ93,AZ88,AZ85,AZ84,AZ74,AZ69,AZ63,AZ59)</f>
        <v>14462.421407471902</v>
      </c>
      <c r="BA97" s="45">
        <f>SUM(BA93,BA88,BA85,BA84,BA74,BA69,BA63,BA59)</f>
        <v>3992.2654080187795</v>
      </c>
      <c r="BB97" s="354">
        <f>SUM(BB93,BB88,BB85,BB84,BB74,BB69,BB63,BB59,BB96)</f>
        <v>29673.188851216233</v>
      </c>
      <c r="BC97" s="27">
        <f>SUM(BC93,BC88,BC85,BC84,BC74,BC69,BC63,BC59,BC96)</f>
        <v>82.865054647404037</v>
      </c>
      <c r="BR97" s="337"/>
      <c r="BS97" s="337"/>
      <c r="BT97" s="337"/>
      <c r="BU97" s="337"/>
      <c r="BV97" s="337"/>
      <c r="BW97" s="337"/>
      <c r="BX97" s="337"/>
      <c r="BY97" s="337"/>
      <c r="BZ97" s="337"/>
      <c r="CA97" s="337"/>
      <c r="CB97" s="337"/>
      <c r="CC97" s="337"/>
    </row>
    <row r="98" spans="1:81" ht="13.5" thickBot="1">
      <c r="C98" s="136" t="s">
        <v>65</v>
      </c>
      <c r="Q98" s="49">
        <f>Q97+Q94</f>
        <v>148335.28008545988</v>
      </c>
      <c r="R98" s="50">
        <f>R97+H94/[2]Popn!$B$42*1000</f>
        <v>414.23964077645144</v>
      </c>
      <c r="AG98" s="217"/>
      <c r="AJ98" s="353">
        <f>AJ97+AJ94</f>
        <v>559856.03770318814</v>
      </c>
      <c r="AK98" s="216">
        <f>AK97+AK94</f>
        <v>1563.4484514478552</v>
      </c>
      <c r="BB98" s="353">
        <f>BB97+BB94</f>
        <v>29673.188851216233</v>
      </c>
      <c r="BC98" s="216">
        <f>BC97+BC94</f>
        <v>82.865054647404037</v>
      </c>
      <c r="BR98" s="337"/>
      <c r="BS98" s="337"/>
      <c r="BT98" s="337"/>
      <c r="BU98" s="337"/>
      <c r="BV98" s="337"/>
      <c r="BW98" s="337"/>
      <c r="BX98" s="337"/>
      <c r="BY98" s="337"/>
      <c r="BZ98" s="337"/>
      <c r="CA98" s="337"/>
      <c r="CB98" s="337"/>
      <c r="CC98" s="337"/>
    </row>
    <row r="99" spans="1:81">
      <c r="BR99" s="337"/>
      <c r="BS99" s="337"/>
      <c r="BT99" s="337"/>
      <c r="BU99" s="337"/>
      <c r="BV99" s="337"/>
      <c r="BW99" s="337"/>
      <c r="BX99" s="337"/>
      <c r="BY99" s="337"/>
      <c r="BZ99" s="337"/>
      <c r="CA99" s="337"/>
      <c r="CB99" s="337"/>
      <c r="CC99" s="337"/>
    </row>
    <row r="100" spans="1:81" ht="13.5" thickBot="1">
      <c r="C100" s="89"/>
      <c r="AT100" s="215"/>
      <c r="AU100" s="215"/>
      <c r="AV100" s="215"/>
      <c r="AW100" s="215"/>
      <c r="BR100" s="337"/>
      <c r="BS100" s="337"/>
      <c r="BT100" s="337"/>
      <c r="BU100" s="337"/>
      <c r="BV100" s="337"/>
      <c r="BW100" s="337"/>
      <c r="BX100" s="337"/>
      <c r="BY100" s="337"/>
      <c r="BZ100" s="337"/>
      <c r="CA100" s="337"/>
      <c r="CB100" s="337"/>
      <c r="CC100" s="337"/>
    </row>
    <row r="101" spans="1:81">
      <c r="A101" s="699" t="s">
        <v>82</v>
      </c>
      <c r="B101" s="16" t="s">
        <v>3</v>
      </c>
      <c r="C101" s="148" t="s">
        <v>16</v>
      </c>
      <c r="D101" s="55"/>
      <c r="E101" s="56"/>
      <c r="F101" s="56"/>
      <c r="G101" s="149"/>
      <c r="H101" s="150"/>
      <c r="I101" s="151"/>
      <c r="J101" s="26"/>
      <c r="K101" s="26"/>
      <c r="L101" s="133"/>
      <c r="M101" s="56"/>
      <c r="N101" s="16"/>
      <c r="O101" s="18"/>
      <c r="P101" s="18"/>
      <c r="Q101" s="244"/>
      <c r="R101" s="28"/>
      <c r="S101" s="152"/>
      <c r="T101" s="55"/>
      <c r="U101" s="56"/>
      <c r="V101" s="56"/>
      <c r="W101" s="213"/>
      <c r="X101" s="197"/>
      <c r="Y101" s="197"/>
      <c r="Z101" s="197"/>
      <c r="AA101" s="290"/>
      <c r="AB101" s="26"/>
      <c r="AC101" s="26"/>
      <c r="AD101" s="26"/>
      <c r="AE101" s="26"/>
      <c r="AF101" s="84"/>
      <c r="AG101" s="151"/>
      <c r="AH101" s="26"/>
      <c r="AI101" s="26"/>
      <c r="AJ101" s="133"/>
      <c r="AK101" s="27"/>
      <c r="AL101" s="18"/>
      <c r="AM101" s="55"/>
      <c r="AN101" s="56"/>
      <c r="AO101" s="56"/>
      <c r="AP101" s="149"/>
      <c r="AQ101" s="153"/>
      <c r="AR101" s="26"/>
      <c r="AS101" s="26"/>
      <c r="AT101" s="21"/>
      <c r="AU101" s="25"/>
      <c r="AV101" s="21"/>
      <c r="AW101" s="22"/>
      <c r="AX101" s="56"/>
      <c r="AY101" s="16"/>
      <c r="AZ101" s="18"/>
      <c r="BA101" s="18"/>
      <c r="BB101" s="244"/>
      <c r="BC101" s="28"/>
      <c r="BD101" s="8"/>
      <c r="BH101" s="700" t="s">
        <v>86</v>
      </c>
      <c r="BI101" s="701"/>
      <c r="BJ101" s="701"/>
      <c r="BK101" s="701"/>
      <c r="BL101" s="702"/>
      <c r="BM101" s="700" t="s">
        <v>87</v>
      </c>
      <c r="BN101" s="702"/>
      <c r="BP101" s="8"/>
      <c r="BQ101" s="8"/>
      <c r="BR101" s="342"/>
      <c r="BS101" s="342"/>
      <c r="BT101" s="342"/>
      <c r="BU101" s="337"/>
      <c r="BV101" s="337"/>
      <c r="BW101" s="337"/>
      <c r="BX101" s="337"/>
      <c r="BY101" s="337"/>
      <c r="BZ101" s="337"/>
      <c r="CA101" s="337"/>
      <c r="CB101" s="337"/>
      <c r="CC101" s="337"/>
    </row>
    <row r="102" spans="1:81">
      <c r="A102" s="699"/>
      <c r="B102" s="23"/>
      <c r="C102" s="17" t="s">
        <v>17</v>
      </c>
      <c r="D102" s="57"/>
      <c r="E102" s="2"/>
      <c r="F102" s="2"/>
      <c r="G102" s="63"/>
      <c r="H102" s="5"/>
      <c r="I102" s="20"/>
      <c r="J102" s="21"/>
      <c r="K102" s="21"/>
      <c r="L102" s="22"/>
      <c r="M102" s="2"/>
      <c r="N102" s="23"/>
      <c r="O102" s="19"/>
      <c r="P102" s="19"/>
      <c r="Q102" s="19"/>
      <c r="R102" s="24"/>
      <c r="T102" s="57"/>
      <c r="U102" s="2"/>
      <c r="V102" s="2"/>
      <c r="W102" s="199"/>
      <c r="X102" s="198"/>
      <c r="Y102" s="198"/>
      <c r="Z102" s="198"/>
      <c r="AA102" s="272"/>
      <c r="AB102" s="21"/>
      <c r="AC102" s="21"/>
      <c r="AD102" s="21"/>
      <c r="AE102" s="21"/>
      <c r="AF102" s="70"/>
      <c r="AG102" s="20"/>
      <c r="AH102" s="21"/>
      <c r="AI102" s="21"/>
      <c r="AJ102" s="22"/>
      <c r="AK102" s="29"/>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3"/>
      <c r="BS102" s="343"/>
      <c r="BT102" s="343"/>
      <c r="BU102" s="342"/>
      <c r="BV102" s="337"/>
      <c r="BW102" s="337"/>
      <c r="BX102" s="337"/>
      <c r="BY102" s="337"/>
      <c r="BZ102" s="337"/>
      <c r="CA102" s="337"/>
      <c r="CB102" s="337"/>
      <c r="CC102" s="337"/>
    </row>
    <row r="103" spans="1:81">
      <c r="A103" s="699"/>
      <c r="B103" s="23"/>
      <c r="C103" s="17" t="s">
        <v>18</v>
      </c>
      <c r="D103" s="57"/>
      <c r="E103" s="2"/>
      <c r="F103" s="2"/>
      <c r="G103" s="63"/>
      <c r="H103" s="5"/>
      <c r="I103" s="20"/>
      <c r="J103" s="21"/>
      <c r="K103" s="21"/>
      <c r="L103" s="22"/>
      <c r="M103" s="2"/>
      <c r="N103" s="23"/>
      <c r="O103" s="19"/>
      <c r="P103" s="19"/>
      <c r="Q103" s="19"/>
      <c r="R103" s="24"/>
      <c r="T103" s="57"/>
      <c r="U103" s="2"/>
      <c r="V103" s="2"/>
      <c r="W103" s="199"/>
      <c r="X103" s="198"/>
      <c r="Y103" s="198"/>
      <c r="Z103" s="198"/>
      <c r="AA103" s="272"/>
      <c r="AB103" s="21"/>
      <c r="AC103" s="21"/>
      <c r="AD103" s="21"/>
      <c r="AE103" s="21"/>
      <c r="AF103" s="70"/>
      <c r="AG103" s="20"/>
      <c r="AH103" s="21"/>
      <c r="AI103" s="21"/>
      <c r="AJ103" s="22"/>
      <c r="AK103" s="29"/>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44"/>
      <c r="BS103" s="345"/>
      <c r="BT103" s="345"/>
      <c r="BU103" s="343"/>
      <c r="BV103" s="337"/>
      <c r="BW103" s="337"/>
      <c r="BX103" s="337"/>
      <c r="BY103" s="337"/>
      <c r="BZ103" s="337"/>
      <c r="CA103" s="337"/>
      <c r="CB103" s="337"/>
      <c r="CC103" s="337"/>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
      <c r="W104" s="199"/>
      <c r="X104" s="198"/>
      <c r="Y104" s="198"/>
      <c r="Z104" s="198"/>
      <c r="AA104" s="274"/>
      <c r="AB104" s="21"/>
      <c r="AC104" s="21"/>
      <c r="AD104" s="21"/>
      <c r="AE104" s="21"/>
      <c r="AF104" s="70"/>
      <c r="AG104" s="20"/>
      <c r="AH104" s="21"/>
      <c r="AI104" s="21"/>
      <c r="AJ104" s="22"/>
      <c r="AK104" s="29"/>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63.252564054421882</v>
      </c>
      <c r="BI104" s="52">
        <f>O144/1000</f>
        <v>67.274229678976354</v>
      </c>
      <c r="BJ104" s="52">
        <f>P144/1000</f>
        <v>21.742125311964827</v>
      </c>
      <c r="BK104" s="53">
        <f>Q144/1000</f>
        <v>152.26891904536302</v>
      </c>
      <c r="BL104" s="54">
        <f>R144/1000</f>
        <v>0.43356969758637193</v>
      </c>
      <c r="BM104" s="51">
        <f>Q145/1000</f>
        <v>152.26891904536302</v>
      </c>
      <c r="BN104" s="54">
        <f>R145/1000</f>
        <v>0.43356969758637193</v>
      </c>
      <c r="BP104" s="30"/>
      <c r="BQ104" s="30"/>
      <c r="BR104" s="344"/>
      <c r="BS104" s="345"/>
      <c r="BT104" s="345"/>
      <c r="BU104" s="346"/>
      <c r="BV104" s="337"/>
      <c r="BW104" s="337"/>
      <c r="BX104" s="337"/>
      <c r="BY104" s="337"/>
      <c r="BZ104" s="337"/>
      <c r="CA104" s="337"/>
      <c r="CB104" s="337"/>
      <c r="CC104" s="337"/>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
      <c r="W105" s="199"/>
      <c r="X105" s="198"/>
      <c r="Y105" s="198"/>
      <c r="Z105" s="198"/>
      <c r="AA105" s="274"/>
      <c r="AB105" s="21"/>
      <c r="AC105" s="21"/>
      <c r="AD105" s="21"/>
      <c r="AE105" s="21"/>
      <c r="AF105" s="70"/>
      <c r="AG105" s="20"/>
      <c r="AH105" s="21"/>
      <c r="AI105" s="21"/>
      <c r="AJ105" s="22"/>
      <c r="AK105" s="29"/>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0</v>
      </c>
      <c r="BI105" s="52">
        <f>AH144/1000</f>
        <v>0</v>
      </c>
      <c r="BJ105" s="52">
        <f>AI144/1000</f>
        <v>0</v>
      </c>
      <c r="BK105" s="53">
        <f>AJ144/1000</f>
        <v>556.10340303686348</v>
      </c>
      <c r="BL105" s="54">
        <f>AK144/1000</f>
        <v>1.5834458259312607</v>
      </c>
      <c r="BM105" s="51">
        <f>AJ145/1000</f>
        <v>556.10340303686348</v>
      </c>
      <c r="BN105" s="54">
        <f>AK145/1000</f>
        <v>1.5834458259312607</v>
      </c>
      <c r="BR105" s="337"/>
      <c r="BS105" s="337"/>
      <c r="BT105" s="337"/>
      <c r="BU105" s="346"/>
      <c r="BV105" s="337"/>
      <c r="BW105" s="337"/>
      <c r="BX105" s="337"/>
      <c r="BY105" s="337"/>
      <c r="BZ105" s="337"/>
      <c r="CA105" s="337"/>
      <c r="CB105" s="337"/>
      <c r="CC105" s="337"/>
    </row>
    <row r="106" spans="1:81" s="106" customFormat="1">
      <c r="A106" s="699"/>
      <c r="B106" s="107" t="s">
        <v>67</v>
      </c>
      <c r="C106" s="108"/>
      <c r="D106" s="109"/>
      <c r="E106" s="110"/>
      <c r="F106" s="110"/>
      <c r="G106" s="111"/>
      <c r="H106" s="110"/>
      <c r="I106" s="112">
        <f>D144*[2]ACT!$J$781</f>
        <v>1705.4331733493314</v>
      </c>
      <c r="J106" s="113">
        <f>E144*[2]ACT!$J$672</f>
        <v>1587.3534553468601</v>
      </c>
      <c r="K106" s="113">
        <f>F144*[2]ACT!$J$687</f>
        <v>9185.5218294184197</v>
      </c>
      <c r="L106" s="114">
        <f>SUM(I106:K106)</f>
        <v>12478.30845811461</v>
      </c>
      <c r="M106" s="110"/>
      <c r="N106" s="112">
        <f>I106-AU106</f>
        <v>1705.4331733493314</v>
      </c>
      <c r="O106" s="113">
        <f>J106-AV106</f>
        <v>1587.3534553468601</v>
      </c>
      <c r="P106" s="113">
        <f>K106-AW106</f>
        <v>9185.5218294184197</v>
      </c>
      <c r="Q106" s="114">
        <f>SUM(N106:P106)</f>
        <v>12478.30845811461</v>
      </c>
      <c r="R106" s="115">
        <f>Q106/[2]Popn!$B$41*1000</f>
        <v>35.530668100181622</v>
      </c>
      <c r="T106" s="109"/>
      <c r="U106" s="110"/>
      <c r="V106" s="110"/>
      <c r="W106" s="203">
        <f>SUMIF([2]ACT!$U$62:$U$98,B101,[2]ACT!$Q$62:$Q$98)</f>
        <v>199562.89456741407</v>
      </c>
      <c r="X106" s="130"/>
      <c r="Y106" s="130"/>
      <c r="Z106" s="130"/>
      <c r="AA106" s="276"/>
      <c r="AB106" s="113"/>
      <c r="AC106" s="113"/>
      <c r="AD106" s="113"/>
      <c r="AE106" s="113"/>
      <c r="AF106" s="117"/>
      <c r="AG106" s="112"/>
      <c r="AH106" s="113"/>
      <c r="AI106" s="113"/>
      <c r="AJ106" s="114">
        <f>W106</f>
        <v>199562.89456741407</v>
      </c>
      <c r="AK106" s="118">
        <f>AJ106/[2]Popn!$B$41*1000</f>
        <v>568.23430802236078</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14.748563716134377</v>
      </c>
      <c r="BI106" s="52">
        <f>AZ144/1000</f>
        <v>13.488577961230119</v>
      </c>
      <c r="BJ106" s="52">
        <f>BA144/1000</f>
        <v>2.7665170238015953</v>
      </c>
      <c r="BK106" s="53">
        <f>BB144/1000</f>
        <v>31.003658701166092</v>
      </c>
      <c r="BL106" s="54">
        <f>BC144/1000</f>
        <v>8.8279650314789709E-2</v>
      </c>
      <c r="BM106" s="51">
        <f>BB145/1000</f>
        <v>31.003658701166092</v>
      </c>
      <c r="BN106" s="54">
        <f>BC145/1000</f>
        <v>8.8279650314789709E-2</v>
      </c>
      <c r="BO106" s="6"/>
      <c r="BR106" s="340"/>
      <c r="BS106" s="340"/>
      <c r="BT106" s="340"/>
      <c r="BU106" s="337"/>
      <c r="BV106" s="337"/>
      <c r="BW106" s="337"/>
      <c r="BX106" s="337"/>
      <c r="BY106" s="337"/>
      <c r="BZ106" s="337"/>
      <c r="CA106" s="337"/>
      <c r="CB106" s="337"/>
      <c r="CC106" s="337"/>
    </row>
    <row r="107" spans="1:81">
      <c r="A107" s="699"/>
      <c r="B107" s="23" t="s">
        <v>4</v>
      </c>
      <c r="C107" s="17" t="s">
        <v>19</v>
      </c>
      <c r="D107" s="57"/>
      <c r="E107" s="2"/>
      <c r="F107" s="2"/>
      <c r="G107" s="63"/>
      <c r="H107" s="2"/>
      <c r="I107" s="112"/>
      <c r="J107" s="113"/>
      <c r="K107" s="113"/>
      <c r="L107" s="22"/>
      <c r="M107" s="2"/>
      <c r="N107" s="23"/>
      <c r="O107" s="19"/>
      <c r="P107" s="19"/>
      <c r="Q107" s="19"/>
      <c r="R107" s="33"/>
      <c r="T107" s="57"/>
      <c r="U107" s="2"/>
      <c r="V107" s="2"/>
      <c r="W107" s="199">
        <f>SUMIF([2]ACT!$T$62:$T$98,C107,[2]ACT!$Q$62:$Q$98)</f>
        <v>31851.602124545068</v>
      </c>
      <c r="X107" s="198"/>
      <c r="Y107" s="198"/>
      <c r="Z107" s="198"/>
      <c r="AA107" s="274"/>
      <c r="AB107" s="21"/>
      <c r="AC107" s="21"/>
      <c r="AD107" s="21"/>
      <c r="AE107" s="21"/>
      <c r="AF107" s="70"/>
      <c r="AG107" s="20"/>
      <c r="AH107" s="21"/>
      <c r="AI107" s="21"/>
      <c r="AJ107" s="22">
        <f>W107</f>
        <v>31851.602124545068</v>
      </c>
      <c r="AK107" s="29">
        <f>AJ107/[2]Popn!$B$41*1000</f>
        <v>90.694079838225477</v>
      </c>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20">SUM(BH105:BH106)/BH108</f>
        <v>0.18908141635487535</v>
      </c>
      <c r="BI107" s="86">
        <f t="shared" si="20"/>
        <v>0.16701472317952262</v>
      </c>
      <c r="BJ107" s="86">
        <f t="shared" si="20"/>
        <v>0.11287924422334519</v>
      </c>
      <c r="BK107" s="87">
        <f t="shared" si="20"/>
        <v>0.79405752553115239</v>
      </c>
      <c r="BL107" s="87">
        <f t="shared" si="20"/>
        <v>0.79405752553115239</v>
      </c>
      <c r="BM107" s="88">
        <f t="shared" si="20"/>
        <v>0.79405752553115239</v>
      </c>
      <c r="BN107" s="87">
        <f t="shared" si="20"/>
        <v>0.79405752553115239</v>
      </c>
      <c r="BR107" s="337"/>
      <c r="BS107" s="337"/>
      <c r="BT107" s="337"/>
      <c r="BU107" s="340"/>
      <c r="BV107" s="340"/>
      <c r="BW107" s="340"/>
      <c r="BX107" s="340"/>
      <c r="BY107" s="340"/>
      <c r="BZ107" s="340"/>
      <c r="CA107" s="340"/>
      <c r="CB107" s="340"/>
      <c r="CC107" s="340"/>
    </row>
    <row r="108" spans="1:81">
      <c r="A108" s="699"/>
      <c r="B108" s="23"/>
      <c r="C108" s="17" t="s">
        <v>20</v>
      </c>
      <c r="D108" s="57"/>
      <c r="E108" s="2"/>
      <c r="F108" s="2"/>
      <c r="G108" s="63"/>
      <c r="H108" s="2"/>
      <c r="I108" s="20"/>
      <c r="J108" s="21"/>
      <c r="K108" s="21"/>
      <c r="L108" s="22"/>
      <c r="M108" s="2"/>
      <c r="N108" s="23"/>
      <c r="O108" s="19"/>
      <c r="P108" s="19"/>
      <c r="Q108" s="19"/>
      <c r="R108" s="33"/>
      <c r="T108" s="57"/>
      <c r="U108" s="2"/>
      <c r="V108" s="2"/>
      <c r="W108" s="199">
        <f>SUMIF([2]ACT!$T$62:$T$98,C108,[2]ACT!$Q$62:$Q$98)</f>
        <v>1691.3696459036503</v>
      </c>
      <c r="X108" s="198"/>
      <c r="Y108" s="198"/>
      <c r="Z108" s="198"/>
      <c r="AA108" s="274"/>
      <c r="AB108" s="21"/>
      <c r="AC108" s="21"/>
      <c r="AD108" s="21"/>
      <c r="AE108" s="21"/>
      <c r="AF108" s="70"/>
      <c r="AG108" s="20"/>
      <c r="AH108" s="21"/>
      <c r="AI108" s="21"/>
      <c r="AJ108" s="22">
        <f>W108</f>
        <v>1691.3696459036503</v>
      </c>
      <c r="AK108" s="29">
        <f>AJ108/[2]Popn!$B$41*1000</f>
        <v>4.8159967935593366</v>
      </c>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21">SUM(BH104:BH106)</f>
        <v>78.001127770556252</v>
      </c>
      <c r="BI108" s="52">
        <f t="shared" si="21"/>
        <v>80.762807640206475</v>
      </c>
      <c r="BJ108" s="52">
        <f t="shared" si="21"/>
        <v>24.508642335766421</v>
      </c>
      <c r="BK108" s="74">
        <f t="shared" si="21"/>
        <v>739.37598078339249</v>
      </c>
      <c r="BL108" s="76">
        <f t="shared" si="21"/>
        <v>2.1052951738324222</v>
      </c>
      <c r="BM108" s="81">
        <f t="shared" si="21"/>
        <v>739.37598078339249</v>
      </c>
      <c r="BN108" s="76">
        <f t="shared" si="21"/>
        <v>2.1052951738324222</v>
      </c>
      <c r="BR108" s="337"/>
      <c r="BS108" s="337"/>
      <c r="BT108" s="337"/>
      <c r="BU108" s="337"/>
      <c r="BV108" s="337"/>
      <c r="BW108" s="337"/>
      <c r="BX108" s="337"/>
      <c r="BY108" s="337"/>
      <c r="BZ108" s="337"/>
      <c r="CA108" s="337"/>
      <c r="CB108" s="337"/>
      <c r="CC108" s="337"/>
    </row>
    <row r="109" spans="1:81">
      <c r="A109" s="699"/>
      <c r="B109" s="23"/>
      <c r="C109" s="17" t="s">
        <v>21</v>
      </c>
      <c r="D109" s="57"/>
      <c r="E109" s="2"/>
      <c r="F109" s="2"/>
      <c r="G109" s="63"/>
      <c r="H109" s="2"/>
      <c r="I109" s="20"/>
      <c r="J109" s="21"/>
      <c r="K109" s="21"/>
      <c r="L109" s="22"/>
      <c r="M109" s="2"/>
      <c r="N109" s="23"/>
      <c r="O109" s="19"/>
      <c r="P109" s="19"/>
      <c r="Q109" s="19"/>
      <c r="R109" s="33"/>
      <c r="T109" s="57"/>
      <c r="U109" s="2"/>
      <c r="V109" s="2"/>
      <c r="W109" s="199"/>
      <c r="X109" s="198"/>
      <c r="Y109" s="198"/>
      <c r="Z109" s="198"/>
      <c r="AA109" s="274"/>
      <c r="AB109" s="21"/>
      <c r="AC109" s="21"/>
      <c r="AD109" s="21"/>
      <c r="AE109" s="21"/>
      <c r="AF109" s="70"/>
      <c r="AG109" s="20"/>
      <c r="AH109" s="21"/>
      <c r="AI109" s="21"/>
      <c r="AJ109" s="22"/>
      <c r="AK109" s="29"/>
      <c r="AL109" s="19"/>
      <c r="AM109" s="57"/>
      <c r="AN109" s="2"/>
      <c r="AO109" s="2"/>
      <c r="AP109" s="63"/>
      <c r="AQ109" s="68"/>
      <c r="AR109" s="21"/>
      <c r="AS109" s="21"/>
      <c r="AT109" s="21"/>
      <c r="AU109" s="25"/>
      <c r="AV109" s="21"/>
      <c r="AW109" s="22"/>
      <c r="AX109" s="2"/>
      <c r="AY109" s="23"/>
      <c r="AZ109" s="19"/>
      <c r="BA109" s="19"/>
      <c r="BB109" s="19"/>
      <c r="BC109" s="24"/>
      <c r="BD109" s="30"/>
      <c r="BR109" s="337"/>
      <c r="BS109" s="337"/>
      <c r="BT109" s="337"/>
      <c r="BU109" s="337"/>
      <c r="BV109" s="337"/>
      <c r="BW109" s="337"/>
      <c r="BX109" s="337"/>
      <c r="BY109" s="337"/>
      <c r="BZ109" s="337"/>
      <c r="CA109" s="337"/>
      <c r="CB109" s="337"/>
      <c r="CC109" s="337"/>
    </row>
    <row r="110" spans="1:81" s="106" customFormat="1">
      <c r="A110" s="699"/>
      <c r="B110" s="107" t="s">
        <v>67</v>
      </c>
      <c r="C110" s="108"/>
      <c r="D110" s="109"/>
      <c r="E110" s="110"/>
      <c r="F110" s="110"/>
      <c r="G110" s="111"/>
      <c r="H110" s="110"/>
      <c r="I110" s="112">
        <f>D144*[2]ACT!$J$782</f>
        <v>2154.2313768623135</v>
      </c>
      <c r="J110" s="113">
        <f>E144*[2]ACT!$J$673</f>
        <v>2728.2637513774157</v>
      </c>
      <c r="K110" s="113">
        <f>F144*[2]ACT!$J$688</f>
        <v>1419.580646364665</v>
      </c>
      <c r="L110" s="114">
        <f>SUM(I110:K110)</f>
        <v>6302.0757746043937</v>
      </c>
      <c r="M110" s="110"/>
      <c r="N110" s="112">
        <f>I110-AU110</f>
        <v>2154.2313768623135</v>
      </c>
      <c r="O110" s="113">
        <f>J110-AV110</f>
        <v>2728.2637513774157</v>
      </c>
      <c r="P110" s="113">
        <f>K110-AW110</f>
        <v>1419.580646364665</v>
      </c>
      <c r="Q110" s="114">
        <f>SUM(N110:P110)</f>
        <v>6302.0757746043937</v>
      </c>
      <c r="R110" s="115">
        <f>Q110/[2]Popn!$B$41*1000</f>
        <v>17.944496519001429</v>
      </c>
      <c r="T110" s="109"/>
      <c r="U110" s="110"/>
      <c r="V110" s="110"/>
      <c r="W110" s="203">
        <f>SUM(W107:W109)</f>
        <v>33542.971770448719</v>
      </c>
      <c r="X110" s="130"/>
      <c r="Y110" s="130"/>
      <c r="Z110" s="130"/>
      <c r="AA110" s="276"/>
      <c r="AB110" s="113"/>
      <c r="AC110" s="113"/>
      <c r="AD110" s="113"/>
      <c r="AE110" s="113"/>
      <c r="AF110" s="117"/>
      <c r="AG110" s="112"/>
      <c r="AH110" s="113"/>
      <c r="AI110" s="113"/>
      <c r="AJ110" s="114">
        <f>W110</f>
        <v>33542.971770448719</v>
      </c>
      <c r="AK110" s="118">
        <f>AJ110/[2]Popn!$B$41*1000</f>
        <v>95.510076631784798</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row>
    <row r="111" spans="1:81">
      <c r="A111" s="699"/>
      <c r="B111" s="23" t="s">
        <v>2</v>
      </c>
      <c r="C111" s="17" t="s">
        <v>22</v>
      </c>
      <c r="D111" s="57"/>
      <c r="E111" s="2"/>
      <c r="F111" s="2"/>
      <c r="G111" s="63"/>
      <c r="H111" s="2"/>
      <c r="I111" s="112"/>
      <c r="J111" s="113"/>
      <c r="K111" s="113"/>
      <c r="L111" s="22"/>
      <c r="M111" s="2"/>
      <c r="N111" s="20"/>
      <c r="O111" s="21"/>
      <c r="P111" s="21"/>
      <c r="Q111" s="21"/>
      <c r="R111" s="34"/>
      <c r="T111" s="57"/>
      <c r="U111" s="2"/>
      <c r="V111" s="2"/>
      <c r="W111" s="199"/>
      <c r="X111" s="198"/>
      <c r="Y111" s="198"/>
      <c r="Z111" s="198"/>
      <c r="AA111" s="274"/>
      <c r="AB111" s="21"/>
      <c r="AC111" s="21"/>
      <c r="AD111" s="21"/>
      <c r="AE111" s="21"/>
      <c r="AF111" s="70"/>
      <c r="AG111" s="20"/>
      <c r="AH111" s="21"/>
      <c r="AI111" s="21"/>
      <c r="AJ111" s="22"/>
      <c r="AK111" s="29"/>
      <c r="AL111" s="19"/>
      <c r="AM111" s="57"/>
      <c r="AN111" s="2"/>
      <c r="AO111" s="2"/>
      <c r="AP111" s="63"/>
      <c r="AQ111" s="70"/>
      <c r="AR111" s="21">
        <f>L116*'[2]Lfill en &amp; composn'!$B$82/SUM('[2]Lfill en &amp; composn'!$B$82,'[2]Lfill en &amp; composn'!$B$84:$B$85,'[2]Lfill en &amp; composn'!$B$87:$B$88)*'[2]Lfill en &amp; composn'!$D$16</f>
        <v>5777.2581499024509</v>
      </c>
      <c r="AS111" s="35">
        <f>AR111/SUM($AR$101:$AR$143)</f>
        <v>0.30492572255430256</v>
      </c>
      <c r="AT111" s="21">
        <f>AS111*'[2]Lfill en &amp; composn'!$B$62/'[2]Lfill en &amp; composn'!$B$16</f>
        <v>15153.158090822166</v>
      </c>
      <c r="AU111" s="25"/>
      <c r="AV111" s="21"/>
      <c r="AW111" s="22"/>
      <c r="AX111" s="82"/>
      <c r="AY111" s="20"/>
      <c r="AZ111" s="21"/>
      <c r="BA111" s="21"/>
      <c r="BB111" s="21"/>
      <c r="BC111" s="29"/>
      <c r="BD111" s="30"/>
      <c r="BU111" s="106"/>
      <c r="BV111" s="106"/>
      <c r="BW111" s="106"/>
      <c r="BX111" s="106"/>
      <c r="BY111" s="106"/>
      <c r="BZ111" s="106"/>
      <c r="CA111" s="106"/>
      <c r="CB111" s="106"/>
      <c r="CC111" s="106"/>
    </row>
    <row r="112" spans="1:81">
      <c r="A112" s="699"/>
      <c r="B112" s="23"/>
      <c r="C112" s="17" t="s">
        <v>23</v>
      </c>
      <c r="D112" s="57"/>
      <c r="E112" s="2"/>
      <c r="F112" s="2"/>
      <c r="G112" s="63"/>
      <c r="H112" s="2"/>
      <c r="I112" s="20"/>
      <c r="J112" s="21"/>
      <c r="K112" s="21"/>
      <c r="L112" s="22"/>
      <c r="M112" s="2"/>
      <c r="N112" s="20"/>
      <c r="O112" s="21"/>
      <c r="P112" s="21"/>
      <c r="Q112" s="21"/>
      <c r="R112" s="34"/>
      <c r="T112" s="201"/>
      <c r="U112" s="2"/>
      <c r="V112" s="2"/>
      <c r="W112" s="199">
        <f>SUMIF([2]ACT!$T$62:$T$98,C112,[2]ACT!$Q$62:$Q$98)</f>
        <v>175652.79451775769</v>
      </c>
      <c r="X112" s="198"/>
      <c r="Y112" s="198"/>
      <c r="Z112" s="198"/>
      <c r="AA112" s="274"/>
      <c r="AB112" s="21"/>
      <c r="AC112" s="21"/>
      <c r="AD112" s="21"/>
      <c r="AE112" s="21"/>
      <c r="AF112" s="70"/>
      <c r="AG112" s="20"/>
      <c r="AH112" s="21"/>
      <c r="AI112" s="21"/>
      <c r="AJ112" s="22">
        <f>W112</f>
        <v>175652.79451775769</v>
      </c>
      <c r="AK112" s="29">
        <f>AJ112/[2]Popn!$B$41*1000</f>
        <v>500.15281829495927</v>
      </c>
      <c r="AL112" s="19"/>
      <c r="AM112" s="57"/>
      <c r="AN112" s="2"/>
      <c r="AO112" s="2"/>
      <c r="AP112" s="63"/>
      <c r="AQ112" s="68"/>
      <c r="AR112" s="21">
        <f>L116*'[2]Lfill en &amp; composn'!$B$84/SUM('[2]Lfill en &amp; composn'!$B$82,'[2]Lfill en &amp; composn'!$B$84:$B$85,'[2]Lfill en &amp; composn'!$B$87:$B$88)*'[2]Lfill en &amp; composn'!$D$18</f>
        <v>1624.3111799208609</v>
      </c>
      <c r="AS112" s="35">
        <f t="shared" ref="AS112:AS115" si="22">AR112/SUM($AR$101:$AR$143)</f>
        <v>8.5731716904283273E-2</v>
      </c>
      <c r="AT112" s="21">
        <f>AS112*'[2]Lfill en &amp; composn'!$B$62/'[2]Lfill en &amp; composn'!$B$18</f>
        <v>3195.3017494699825</v>
      </c>
      <c r="AU112" s="25"/>
      <c r="AV112" s="21"/>
      <c r="AW112" s="22"/>
      <c r="AX112" s="2"/>
      <c r="AY112" s="20"/>
      <c r="AZ112" s="21"/>
      <c r="BA112" s="21"/>
      <c r="BB112" s="21"/>
      <c r="BC112" s="29"/>
      <c r="BD112" s="36"/>
    </row>
    <row r="113" spans="1:81">
      <c r="A113" s="699"/>
      <c r="B113" s="23"/>
      <c r="C113" s="17" t="s">
        <v>24</v>
      </c>
      <c r="D113" s="57"/>
      <c r="E113" s="2"/>
      <c r="F113" s="2"/>
      <c r="G113" s="63"/>
      <c r="H113" s="2"/>
      <c r="I113" s="20"/>
      <c r="J113" s="21"/>
      <c r="K113" s="21"/>
      <c r="L113" s="22"/>
      <c r="M113" s="2"/>
      <c r="N113" s="20"/>
      <c r="O113" s="21"/>
      <c r="P113" s="21"/>
      <c r="Q113" s="21"/>
      <c r="R113" s="34"/>
      <c r="T113" s="57"/>
      <c r="U113" s="2"/>
      <c r="V113" s="2"/>
      <c r="W113" s="199">
        <f>SUMIF([2]ACT!$T$62:$T$98,C113,[2]ACT!$Q$62:$Q$98)</f>
        <v>27986.505964823231</v>
      </c>
      <c r="X113" s="198"/>
      <c r="Y113" s="198"/>
      <c r="Z113" s="198"/>
      <c r="AA113" s="274"/>
      <c r="AB113" s="21"/>
      <c r="AC113" s="21"/>
      <c r="AD113" s="21"/>
      <c r="AE113" s="21"/>
      <c r="AF113" s="70"/>
      <c r="AG113" s="20"/>
      <c r="AH113" s="21"/>
      <c r="AI113" s="21"/>
      <c r="AJ113" s="22">
        <f>W113</f>
        <v>27986.505964823231</v>
      </c>
      <c r="AK113" s="29">
        <f>AJ113/[2]Popn!$B$41*1000</f>
        <v>79.688625910929886</v>
      </c>
      <c r="AL113" s="19"/>
      <c r="AM113" s="57"/>
      <c r="AN113" s="2"/>
      <c r="AO113" s="2"/>
      <c r="AP113" s="63"/>
      <c r="AQ113" s="70"/>
      <c r="AR113" s="21">
        <f>L116*'[2]Lfill en &amp; composn'!$B$85/SUM('[2]Lfill en &amp; composn'!$B$82,'[2]Lfill en &amp; composn'!$B$84:$B$85,'[2]Lfill en &amp; composn'!$B$87:$B$88)*'[2]Lfill en &amp; composn'!$D$19</f>
        <v>1239.1301706437596</v>
      </c>
      <c r="AS113" s="35">
        <f t="shared" si="22"/>
        <v>6.5401727397063694E-2</v>
      </c>
      <c r="AT113" s="21">
        <f>AS113*'[2]Lfill en &amp; composn'!$B$62/'[2]Lfill en &amp; composn'!$B$19</f>
        <v>1133.7599595915531</v>
      </c>
      <c r="AU113" s="25"/>
      <c r="AV113" s="21"/>
      <c r="AW113" s="22"/>
      <c r="AX113" s="2"/>
      <c r="AY113" s="20"/>
      <c r="AZ113" s="21"/>
      <c r="BA113" s="21"/>
      <c r="BB113" s="21"/>
      <c r="BC113" s="29"/>
    </row>
    <row r="114" spans="1:81">
      <c r="A114" s="699"/>
      <c r="B114" s="23"/>
      <c r="C114" s="17" t="s">
        <v>25</v>
      </c>
      <c r="D114" s="57"/>
      <c r="E114" s="2"/>
      <c r="F114" s="2"/>
      <c r="G114" s="63"/>
      <c r="H114" s="2"/>
      <c r="I114" s="20"/>
      <c r="J114" s="21"/>
      <c r="K114" s="21"/>
      <c r="L114" s="22"/>
      <c r="M114" s="2"/>
      <c r="N114" s="20"/>
      <c r="O114" s="21"/>
      <c r="P114" s="21"/>
      <c r="Q114" s="21"/>
      <c r="R114" s="34"/>
      <c r="T114" s="57"/>
      <c r="U114" s="2"/>
      <c r="V114" s="2"/>
      <c r="W114" s="199"/>
      <c r="X114" s="198"/>
      <c r="Y114" s="198"/>
      <c r="Z114" s="198"/>
      <c r="AA114" s="274"/>
      <c r="AB114" s="21"/>
      <c r="AC114" s="21"/>
      <c r="AD114" s="21"/>
      <c r="AE114" s="21"/>
      <c r="AF114" s="70"/>
      <c r="AG114" s="20"/>
      <c r="AH114" s="21"/>
      <c r="AI114" s="21"/>
      <c r="AJ114" s="22"/>
      <c r="AK114" s="29"/>
      <c r="AL114" s="19"/>
      <c r="AM114" s="57"/>
      <c r="AN114" s="2"/>
      <c r="AO114" s="2"/>
      <c r="AP114" s="63"/>
      <c r="AQ114" s="68"/>
      <c r="AR114" s="21">
        <f>L116*'[2]Lfill en &amp; composn'!$B$93/SUM('[2]Lfill en &amp; composn'!$B$82,'[2]Lfill en &amp; composn'!$B$84:$B$85,'[2]Lfill en &amp; composn'!$B$87:$B$88)*'[2]Lfill en &amp; composn'!$D$24</f>
        <v>393.01075849676533</v>
      </c>
      <c r="AS114" s="35">
        <f t="shared" si="22"/>
        <v>2.074324643226548E-2</v>
      </c>
      <c r="AT114" s="21">
        <f>AS114*'[2]Lfill en &amp; composn'!$B$62/'[2]Lfill en &amp; composn'!$B$24</f>
        <v>644.26692563019401</v>
      </c>
      <c r="AU114" s="25"/>
      <c r="AV114" s="21"/>
      <c r="AW114" s="22"/>
      <c r="AX114" s="83"/>
      <c r="AY114" s="20"/>
      <c r="AZ114" s="21"/>
      <c r="BA114" s="21"/>
      <c r="BB114" s="21"/>
      <c r="BC114" s="29"/>
    </row>
    <row r="115" spans="1:81">
      <c r="A115" s="699"/>
      <c r="B115" s="23"/>
      <c r="C115" s="17" t="s">
        <v>0</v>
      </c>
      <c r="D115" s="57"/>
      <c r="E115" s="2"/>
      <c r="F115" s="2"/>
      <c r="G115" s="199"/>
      <c r="H115" s="198">
        <f>[2]Biosolids!$B$198</f>
        <v>3351.4837153196622</v>
      </c>
      <c r="I115" s="112"/>
      <c r="J115" s="113"/>
      <c r="K115" s="113"/>
      <c r="L115" s="22"/>
      <c r="M115" s="2" t="s">
        <v>193</v>
      </c>
      <c r="N115" s="23"/>
      <c r="O115" s="19"/>
      <c r="P115" s="19"/>
      <c r="Q115" s="19"/>
      <c r="R115" s="34"/>
      <c r="T115" s="57"/>
      <c r="U115" s="2"/>
      <c r="V115" s="2"/>
      <c r="W115" s="199"/>
      <c r="X115" s="198"/>
      <c r="Y115" s="198"/>
      <c r="Z115" s="198"/>
      <c r="AA115" s="278">
        <f>[2]Biosolids!$B$197</f>
        <v>41256.447527141136</v>
      </c>
      <c r="AB115" s="21"/>
      <c r="AC115" s="21"/>
      <c r="AD115" s="21"/>
      <c r="AE115" s="21"/>
      <c r="AF115" s="355" t="s">
        <v>111</v>
      </c>
      <c r="AG115" s="20"/>
      <c r="AH115" s="21"/>
      <c r="AI115" s="21"/>
      <c r="AJ115" s="22">
        <f>AA115</f>
        <v>41256.447527141136</v>
      </c>
      <c r="AK115" s="29">
        <f>AJ115/[2]Popn!$B$41*1000</f>
        <v>117.47338583589507</v>
      </c>
      <c r="AL115" s="19"/>
      <c r="AM115" s="57"/>
      <c r="AN115" s="2"/>
      <c r="AO115" s="2"/>
      <c r="AP115" s="63"/>
      <c r="AQ115" s="68"/>
      <c r="AR115" s="21">
        <f>L116*'[2]Lfill en &amp; composn'!$B$87/SUM('[2]Lfill en &amp; composn'!$B$82,'[2]Lfill en &amp; composn'!$B$84:$B$85,'[2]Lfill en &amp; composn'!$B$87:$B$88)*'[2]Lfill en &amp; composn'!$D$21</f>
        <v>29.989919798081658</v>
      </c>
      <c r="AS115" s="35">
        <f t="shared" si="22"/>
        <v>1.5828785431597932E-3</v>
      </c>
      <c r="AT115" s="21">
        <f>AS115*'[2]Lfill en &amp; composn'!$B$62/'[2]Lfill en &amp; composn'!$B$21</f>
        <v>235.98149020175714</v>
      </c>
      <c r="AU115" s="25"/>
      <c r="AV115" s="21"/>
      <c r="AW115" s="22"/>
      <c r="AX115" s="2"/>
      <c r="AY115" s="23"/>
      <c r="AZ115" s="19"/>
      <c r="BA115" s="19"/>
      <c r="BB115" s="21"/>
      <c r="BC115" s="24"/>
    </row>
    <row r="116" spans="1:81" s="106" customFormat="1">
      <c r="A116" s="699"/>
      <c r="B116" s="107" t="s">
        <v>67</v>
      </c>
      <c r="C116" s="108"/>
      <c r="D116" s="109"/>
      <c r="E116" s="110"/>
      <c r="F116" s="110"/>
      <c r="G116" s="111"/>
      <c r="H116" s="110"/>
      <c r="I116" s="112">
        <f>D144*[2]ACT!$J$783</f>
        <v>46046.695680431949</v>
      </c>
      <c r="J116" s="113">
        <f>E144*[2]ACT!$J$674</f>
        <v>27282.637513774163</v>
      </c>
      <c r="K116" s="113">
        <f>F144*[2]ACT!$J$689</f>
        <v>6805.6366281600122</v>
      </c>
      <c r="L116" s="114">
        <f>SUM(I116:K116)</f>
        <v>80134.969822366125</v>
      </c>
      <c r="M116" s="110"/>
      <c r="N116" s="112">
        <f>I116-AU116</f>
        <v>34346.131253815911</v>
      </c>
      <c r="O116" s="113">
        <f>J116-AV116</f>
        <v>20350.060631963657</v>
      </c>
      <c r="P116" s="113">
        <f>K116-AW116</f>
        <v>5076.3097208709032</v>
      </c>
      <c r="Q116" s="114">
        <f>SUM(N116:P116)</f>
        <v>59772.501606650469</v>
      </c>
      <c r="R116" s="115">
        <f>Q116/[2]Popn!$B$41*1000</f>
        <v>170.19589820464788</v>
      </c>
      <c r="T116" s="109"/>
      <c r="U116" s="110"/>
      <c r="V116" s="110"/>
      <c r="W116" s="203">
        <f>SUMIF([2]ACT!$U$62:$U$98,B111,[2]ACT!$Q$62:$Q$98)</f>
        <v>203639.3004825809</v>
      </c>
      <c r="X116" s="130"/>
      <c r="Y116" s="130"/>
      <c r="Z116" s="130"/>
      <c r="AA116" s="276"/>
      <c r="AB116" s="113"/>
      <c r="AC116" s="113"/>
      <c r="AD116" s="113"/>
      <c r="AE116" s="113"/>
      <c r="AF116" s="117"/>
      <c r="AG116" s="112"/>
      <c r="AH116" s="113"/>
      <c r="AI116" s="113"/>
      <c r="AJ116" s="114">
        <f>SUM(AJ112:AJ115)</f>
        <v>244895.74800972207</v>
      </c>
      <c r="AK116" s="118">
        <f>AJ116/[2]Popn!$B$41*1000</f>
        <v>697.31483004178426</v>
      </c>
      <c r="AL116" s="119"/>
      <c r="AM116" s="109"/>
      <c r="AN116" s="110"/>
      <c r="AO116" s="110"/>
      <c r="AP116" s="111"/>
      <c r="AQ116" s="116"/>
      <c r="AR116" s="113"/>
      <c r="AS116" s="113"/>
      <c r="AT116" s="113">
        <f>SUM(AT111:AT115)</f>
        <v>20362.468215715649</v>
      </c>
      <c r="AU116" s="120">
        <f>$AT116*I116/SUM($I116:$K116)</f>
        <v>11700.564426616036</v>
      </c>
      <c r="AV116" s="113">
        <f>$AT116*J116/SUM($I116:$K116)</f>
        <v>6932.5768818105043</v>
      </c>
      <c r="AW116" s="114">
        <f>$AT116*K116/SUM($I116:$K116)</f>
        <v>1729.3269072891089</v>
      </c>
      <c r="AX116" s="110"/>
      <c r="AY116" s="241">
        <f>AU116</f>
        <v>11700.564426616036</v>
      </c>
      <c r="AZ116" s="242">
        <f>AV116</f>
        <v>6932.5768818105043</v>
      </c>
      <c r="BA116" s="242">
        <f>AW116</f>
        <v>1729.3269072891089</v>
      </c>
      <c r="BB116" s="243">
        <f>AT116+AP116</f>
        <v>20362.468215715649</v>
      </c>
      <c r="BC116" s="118">
        <f>BB116/[2]Popn!$B$41*1000</f>
        <v>57.979982006503874</v>
      </c>
      <c r="BD116" s="122"/>
      <c r="BG116" s="146"/>
      <c r="BH116" s="138" t="s">
        <v>72</v>
      </c>
      <c r="BI116" s="138" t="s">
        <v>68</v>
      </c>
      <c r="BJ116" s="138" t="s">
        <v>69</v>
      </c>
      <c r="BK116" s="138" t="s">
        <v>73</v>
      </c>
      <c r="BL116" s="138" t="s">
        <v>78</v>
      </c>
      <c r="BM116" s="6"/>
      <c r="BN116" s="6"/>
      <c r="BO116" s="6"/>
      <c r="BU116" s="6"/>
      <c r="BV116" s="6"/>
      <c r="BW116" s="6"/>
      <c r="BX116" s="6"/>
      <c r="BY116" s="6"/>
      <c r="BZ116" s="6"/>
      <c r="CA116" s="6"/>
      <c r="CB116" s="6"/>
      <c r="CC116" s="6"/>
    </row>
    <row r="117" spans="1:81">
      <c r="A117" s="699"/>
      <c r="B117" s="23" t="s">
        <v>5</v>
      </c>
      <c r="C117" s="17" t="s">
        <v>26</v>
      </c>
      <c r="D117" s="57"/>
      <c r="E117" s="2"/>
      <c r="F117" s="2"/>
      <c r="G117" s="63"/>
      <c r="H117" s="2"/>
      <c r="I117" s="112"/>
      <c r="J117" s="113"/>
      <c r="K117" s="113"/>
      <c r="L117" s="22"/>
      <c r="M117" s="2"/>
      <c r="N117" s="23"/>
      <c r="O117" s="19"/>
      <c r="P117" s="19"/>
      <c r="Q117" s="19"/>
      <c r="R117" s="33"/>
      <c r="T117" s="57"/>
      <c r="U117" s="2"/>
      <c r="V117" s="2"/>
      <c r="W117" s="199"/>
      <c r="X117" s="198"/>
      <c r="Y117" s="198"/>
      <c r="Z117" s="198"/>
      <c r="AA117" s="274"/>
      <c r="AB117" s="21"/>
      <c r="AC117" s="21"/>
      <c r="AD117" s="21"/>
      <c r="AE117" s="21"/>
      <c r="AF117" s="70"/>
      <c r="AG117" s="20"/>
      <c r="AH117" s="21"/>
      <c r="AI117" s="21"/>
      <c r="AJ117" s="22"/>
      <c r="AK117" s="29"/>
      <c r="AL117" s="19"/>
      <c r="AM117" s="57"/>
      <c r="AN117" s="2"/>
      <c r="AO117" s="2"/>
      <c r="AP117" s="63"/>
      <c r="AQ117" s="68"/>
      <c r="AR117" s="21"/>
      <c r="AS117" s="21"/>
      <c r="AT117" s="21"/>
      <c r="AU117" s="240"/>
      <c r="AV117" s="19"/>
      <c r="AW117" s="195"/>
      <c r="AX117" s="2"/>
      <c r="AY117" s="238"/>
      <c r="BB117" s="19"/>
      <c r="BC117" s="24"/>
      <c r="BG117" s="147" t="s">
        <v>3</v>
      </c>
      <c r="BH117" s="52">
        <f>Q106/1000</f>
        <v>12.47830845811461</v>
      </c>
      <c r="BI117" s="52">
        <f>AJ106/1000</f>
        <v>199.56289456741408</v>
      </c>
      <c r="BJ117" s="52">
        <f>BB106/1000</f>
        <v>0</v>
      </c>
      <c r="BK117" s="137">
        <f>SUM(BI117:BJ117)/BL117</f>
        <v>0.94115149187956515</v>
      </c>
      <c r="BL117" s="52">
        <f>SUM(BH117:BJ117)</f>
        <v>212.04120302552869</v>
      </c>
      <c r="BU117" s="106"/>
      <c r="BV117" s="106"/>
      <c r="BW117" s="106"/>
      <c r="BX117" s="106"/>
      <c r="BY117" s="106"/>
      <c r="BZ117" s="106"/>
      <c r="CA117" s="106"/>
      <c r="CB117" s="106"/>
      <c r="CC117" s="106"/>
    </row>
    <row r="118" spans="1:81">
      <c r="A118" s="699"/>
      <c r="B118" s="23"/>
      <c r="C118" s="17" t="s">
        <v>27</v>
      </c>
      <c r="D118" s="57"/>
      <c r="E118" s="2"/>
      <c r="F118" s="2"/>
      <c r="G118" s="63"/>
      <c r="H118" s="2"/>
      <c r="I118" s="20"/>
      <c r="J118" s="21"/>
      <c r="K118" s="21"/>
      <c r="L118" s="22"/>
      <c r="M118" s="2"/>
      <c r="N118" s="23"/>
      <c r="O118" s="19"/>
      <c r="P118" s="19"/>
      <c r="Q118" s="19"/>
      <c r="R118" s="33"/>
      <c r="T118" s="57"/>
      <c r="U118" s="2"/>
      <c r="V118" s="2"/>
      <c r="W118" s="199"/>
      <c r="X118" s="198"/>
      <c r="Y118" s="198"/>
      <c r="Z118" s="198"/>
      <c r="AA118" s="274"/>
      <c r="AB118" s="21"/>
      <c r="AC118" s="21"/>
      <c r="AD118" s="21"/>
      <c r="AE118" s="21"/>
      <c r="AF118" s="70"/>
      <c r="AG118" s="20"/>
      <c r="AH118" s="21"/>
      <c r="AI118" s="21"/>
      <c r="AJ118" s="22"/>
      <c r="AK118" s="29"/>
      <c r="AL118" s="19"/>
      <c r="AM118" s="57"/>
      <c r="AN118" s="2"/>
      <c r="AO118" s="2"/>
      <c r="AP118" s="63"/>
      <c r="AQ118" s="68"/>
      <c r="AR118" s="21"/>
      <c r="AS118" s="21"/>
      <c r="AT118" s="21"/>
      <c r="AU118" s="240"/>
      <c r="AV118" s="19"/>
      <c r="AW118" s="195"/>
      <c r="AX118" s="2"/>
      <c r="AY118" s="238"/>
      <c r="BB118" s="19"/>
      <c r="BC118" s="24"/>
      <c r="BG118" s="147" t="s">
        <v>4</v>
      </c>
      <c r="BH118" s="52">
        <f>Q110/1000</f>
        <v>6.3020757746043934</v>
      </c>
      <c r="BI118" s="52">
        <f>AJ110/1000</f>
        <v>33.542971770448716</v>
      </c>
      <c r="BJ118" s="52">
        <f>BB110/1000</f>
        <v>0</v>
      </c>
      <c r="BK118" s="137">
        <f t="shared" ref="BK118:BK123" si="23">SUM(BI118:BJ118)/BL118</f>
        <v>0.8418354058310864</v>
      </c>
      <c r="BL118" s="52">
        <f t="shared" ref="BL118:BL125" si="24">SUM(BH118:BJ118)</f>
        <v>39.845047545053106</v>
      </c>
    </row>
    <row r="119" spans="1:81">
      <c r="A119" s="699"/>
      <c r="B119" s="23"/>
      <c r="C119" s="17" t="s">
        <v>28</v>
      </c>
      <c r="D119" s="57"/>
      <c r="E119" s="2"/>
      <c r="F119" s="2"/>
      <c r="G119" s="63"/>
      <c r="H119" s="2"/>
      <c r="I119" s="20"/>
      <c r="J119" s="21"/>
      <c r="K119" s="21"/>
      <c r="L119" s="22"/>
      <c r="M119" s="2"/>
      <c r="N119" s="23"/>
      <c r="O119" s="19"/>
      <c r="P119" s="19"/>
      <c r="Q119" s="19"/>
      <c r="R119" s="33"/>
      <c r="T119" s="57"/>
      <c r="U119" s="2"/>
      <c r="V119" s="2"/>
      <c r="W119" s="199"/>
      <c r="X119" s="198"/>
      <c r="Y119" s="198"/>
      <c r="Z119" s="198"/>
      <c r="AA119" s="274"/>
      <c r="AB119" s="21"/>
      <c r="AC119" s="21"/>
      <c r="AD119" s="21"/>
      <c r="AE119" s="21"/>
      <c r="AF119" s="70"/>
      <c r="AG119" s="20"/>
      <c r="AH119" s="21"/>
      <c r="AI119" s="21"/>
      <c r="AJ119" s="22"/>
      <c r="AK119" s="29"/>
      <c r="AL119" s="19"/>
      <c r="AM119" s="57"/>
      <c r="AN119" s="2"/>
      <c r="AO119" s="2"/>
      <c r="AP119" s="63"/>
      <c r="AQ119" s="68"/>
      <c r="AR119" s="21"/>
      <c r="AS119" s="21"/>
      <c r="AT119" s="21"/>
      <c r="AU119" s="240"/>
      <c r="AV119" s="19"/>
      <c r="AW119" s="195"/>
      <c r="AX119" s="2"/>
      <c r="AY119" s="238"/>
      <c r="BB119" s="19"/>
      <c r="BC119" s="24"/>
      <c r="BG119" s="147" t="s">
        <v>2</v>
      </c>
      <c r="BH119" s="52">
        <f>Q116/1000</f>
        <v>59.772501606650465</v>
      </c>
      <c r="BI119" s="52">
        <f>AJ116/1000</f>
        <v>244.89574800972207</v>
      </c>
      <c r="BJ119" s="52">
        <f>BB116/1000</f>
        <v>20.362468215715648</v>
      </c>
      <c r="BK119" s="137">
        <f t="shared" si="23"/>
        <v>0.81610199181995746</v>
      </c>
      <c r="BL119" s="52">
        <f t="shared" si="24"/>
        <v>325.03071783208816</v>
      </c>
    </row>
    <row r="120" spans="1:81">
      <c r="A120" s="699"/>
      <c r="B120" s="23"/>
      <c r="C120" s="17" t="s">
        <v>29</v>
      </c>
      <c r="D120" s="57"/>
      <c r="E120" s="2"/>
      <c r="F120" s="2"/>
      <c r="G120" s="63"/>
      <c r="H120" s="2"/>
      <c r="I120" s="20"/>
      <c r="J120" s="21"/>
      <c r="K120" s="21"/>
      <c r="L120" s="22"/>
      <c r="M120" s="2"/>
      <c r="N120" s="23"/>
      <c r="O120" s="19"/>
      <c r="P120" s="19"/>
      <c r="Q120" s="19"/>
      <c r="R120" s="33"/>
      <c r="T120" s="57"/>
      <c r="U120" s="2"/>
      <c r="V120" s="2"/>
      <c r="W120" s="199"/>
      <c r="X120" s="198"/>
      <c r="Y120" s="198"/>
      <c r="Z120" s="198"/>
      <c r="AA120" s="274"/>
      <c r="AB120" s="21"/>
      <c r="AC120" s="21"/>
      <c r="AD120" s="21"/>
      <c r="AE120" s="21"/>
      <c r="AF120" s="70"/>
      <c r="AG120" s="20"/>
      <c r="AH120" s="21"/>
      <c r="AI120" s="21"/>
      <c r="AJ120" s="22"/>
      <c r="AK120" s="29"/>
      <c r="AL120" s="19"/>
      <c r="AM120" s="57"/>
      <c r="AN120" s="2"/>
      <c r="AO120" s="2"/>
      <c r="AP120" s="63"/>
      <c r="AQ120" s="68"/>
      <c r="AR120" s="21"/>
      <c r="AS120" s="21"/>
      <c r="AT120" s="21"/>
      <c r="AU120" s="240"/>
      <c r="AV120" s="19"/>
      <c r="AW120" s="195"/>
      <c r="AX120" s="2"/>
      <c r="AY120" s="238"/>
      <c r="BB120" s="19"/>
      <c r="BC120" s="24"/>
      <c r="BG120" s="147" t="s">
        <v>5</v>
      </c>
      <c r="BH120" s="52">
        <f>Q121/1000</f>
        <v>26.415644019008766</v>
      </c>
      <c r="BI120" s="52">
        <f>AJ121/1000</f>
        <v>50.773187061480897</v>
      </c>
      <c r="BJ120" s="52">
        <f>BB121/1000</f>
        <v>6.3086962791022421</v>
      </c>
      <c r="BK120" s="137">
        <f t="shared" si="23"/>
        <v>0.68363561348054425</v>
      </c>
      <c r="BL120" s="52">
        <f t="shared" si="24"/>
        <v>83.497527359591899</v>
      </c>
    </row>
    <row r="121" spans="1:81" s="106" customFormat="1">
      <c r="A121" s="699"/>
      <c r="B121" s="107" t="s">
        <v>67</v>
      </c>
      <c r="C121" s="108"/>
      <c r="D121" s="109"/>
      <c r="E121" s="110"/>
      <c r="F121" s="110"/>
      <c r="G121" s="111"/>
      <c r="H121" s="110"/>
      <c r="I121" s="112">
        <f>D144*[2]ACT!$J$784</f>
        <v>10681.39724360897</v>
      </c>
      <c r="J121" s="113">
        <f>E144*[2]ACT!$J$675</f>
        <v>20539.857664233576</v>
      </c>
      <c r="K121" s="113">
        <f>F144*[2]ACT!$J$690</f>
        <v>1503.0853902684689</v>
      </c>
      <c r="L121" s="114">
        <f>SUM(I121:K121)</f>
        <v>32724.340298111012</v>
      </c>
      <c r="M121" s="110"/>
      <c r="N121" s="112">
        <f>I121-AU121</f>
        <v>8622.2055094899279</v>
      </c>
      <c r="O121" s="113">
        <f>J121-AV121</f>
        <v>16580.122420094216</v>
      </c>
      <c r="P121" s="113">
        <f>K121-AW121</f>
        <v>1213.3160894246257</v>
      </c>
      <c r="Q121" s="114">
        <f>SUM(N121:P121)</f>
        <v>26415.644019008767</v>
      </c>
      <c r="R121" s="115">
        <f>Q121/[2]Popn!$B$41*1000</f>
        <v>75.215762091664089</v>
      </c>
      <c r="T121" s="109"/>
      <c r="U121" s="110"/>
      <c r="V121" s="110"/>
      <c r="W121" s="203">
        <f>SUMIF([2]ACT!$U$62:$U$98,B117,[2]ACT!$Q$62:$Q$98)</f>
        <v>50773.187061480894</v>
      </c>
      <c r="X121" s="130"/>
      <c r="Y121" s="130"/>
      <c r="Z121" s="130"/>
      <c r="AA121" s="276"/>
      <c r="AB121" s="113"/>
      <c r="AC121" s="113"/>
      <c r="AD121" s="113"/>
      <c r="AE121" s="113"/>
      <c r="AF121" s="117"/>
      <c r="AG121" s="112"/>
      <c r="AH121" s="113"/>
      <c r="AI121" s="113"/>
      <c r="AJ121" s="114">
        <f>W121</f>
        <v>50773.187061480894</v>
      </c>
      <c r="AK121" s="118">
        <f>AJ121/[2]Popn!$B$41*1000</f>
        <v>144.57129857987871</v>
      </c>
      <c r="AL121" s="119"/>
      <c r="AM121" s="109"/>
      <c r="AN121" s="110"/>
      <c r="AO121" s="110"/>
      <c r="AP121" s="111"/>
      <c r="AQ121" s="117"/>
      <c r="AR121" s="113">
        <f>L121*'[2]Lfill en &amp; composn'!$D$17</f>
        <v>6413.9706984297591</v>
      </c>
      <c r="AS121" s="123">
        <f>AR121/SUM($AR$101:$AR$143)</f>
        <v>0.33853163540802528</v>
      </c>
      <c r="AT121" s="113">
        <f>AS121*'[2]Lfill en &amp; composn'!$B$62/'[2]Lfill en &amp; composn'!$B$17</f>
        <v>6308.6962791022424</v>
      </c>
      <c r="AU121" s="120">
        <f>$AT121*I121/SUM($I121:$K121)</f>
        <v>2059.1917341190415</v>
      </c>
      <c r="AV121" s="113">
        <f>$AT121*J121/SUM($I121:$K121)</f>
        <v>3959.7352441393577</v>
      </c>
      <c r="AW121" s="114">
        <f>$AT121*K121/SUM($I121:$K121)</f>
        <v>289.76930084384321</v>
      </c>
      <c r="AX121" s="110"/>
      <c r="AY121" s="241">
        <f>AU121</f>
        <v>2059.1917341190415</v>
      </c>
      <c r="AZ121" s="242">
        <f>AV121</f>
        <v>3959.7352441393577</v>
      </c>
      <c r="BA121" s="242">
        <f>AW121</f>
        <v>289.76930084384321</v>
      </c>
      <c r="BB121" s="114">
        <f>AT121+AP121</f>
        <v>6308.6962791022424</v>
      </c>
      <c r="BC121" s="118">
        <f>BB121/[2]Popn!$B$41*1000</f>
        <v>17.963347707746955</v>
      </c>
      <c r="BD121" s="122"/>
      <c r="BG121" s="147" t="s">
        <v>6</v>
      </c>
      <c r="BH121" s="52">
        <f>Q131/1000</f>
        <v>23.287583037792189</v>
      </c>
      <c r="BI121" s="52">
        <f>AJ131/1000</f>
        <v>1.2456666666666669</v>
      </c>
      <c r="BJ121" s="52">
        <f>BB131/1000</f>
        <v>0</v>
      </c>
      <c r="BK121" s="137">
        <f t="shared" si="23"/>
        <v>5.0774629601567624E-2</v>
      </c>
      <c r="BL121" s="52">
        <f t="shared" si="24"/>
        <v>24.533249704458857</v>
      </c>
      <c r="BM121" s="6"/>
      <c r="BN121" s="6"/>
      <c r="BO121" s="6"/>
      <c r="BU121" s="6"/>
      <c r="BV121" s="6"/>
      <c r="BW121" s="6"/>
      <c r="BX121" s="6"/>
      <c r="BY121" s="6"/>
      <c r="BZ121" s="6"/>
      <c r="CA121" s="6"/>
      <c r="CB121" s="6"/>
      <c r="CC121" s="6"/>
    </row>
    <row r="122" spans="1:81">
      <c r="A122" s="699"/>
      <c r="B122" s="23" t="s">
        <v>6</v>
      </c>
      <c r="C122" s="17" t="s">
        <v>30</v>
      </c>
      <c r="D122" s="57"/>
      <c r="E122" s="2"/>
      <c r="F122" s="2"/>
      <c r="G122" s="63"/>
      <c r="H122" s="2"/>
      <c r="I122" s="112"/>
      <c r="J122" s="113"/>
      <c r="K122" s="113"/>
      <c r="L122" s="22"/>
      <c r="M122" s="2"/>
      <c r="N122" s="23"/>
      <c r="O122" s="19"/>
      <c r="P122" s="19"/>
      <c r="Q122" s="19"/>
      <c r="R122" s="33"/>
      <c r="T122" s="57"/>
      <c r="U122" s="2"/>
      <c r="V122" s="2"/>
      <c r="W122" s="199">
        <f>SUMIF([2]ACT!$T$62:$T$98,C122,[2]ACT!$Q$62:$Q$98)</f>
        <v>481.46526557088617</v>
      </c>
      <c r="X122" s="198"/>
      <c r="Y122" s="198"/>
      <c r="Z122" s="198"/>
      <c r="AA122" s="274"/>
      <c r="AB122" s="21"/>
      <c r="AC122" s="21"/>
      <c r="AD122" s="21"/>
      <c r="AE122" s="21"/>
      <c r="AF122" s="70"/>
      <c r="AG122" s="20"/>
      <c r="AH122" s="21"/>
      <c r="AI122" s="21"/>
      <c r="AJ122" s="22">
        <f>W122</f>
        <v>481.46526557088617</v>
      </c>
      <c r="AK122" s="29"/>
      <c r="AL122" s="19"/>
      <c r="AM122" s="57"/>
      <c r="AN122" s="2"/>
      <c r="AO122" s="2"/>
      <c r="AP122" s="63"/>
      <c r="AQ122" s="68"/>
      <c r="AR122" s="21"/>
      <c r="AS122" s="21"/>
      <c r="AT122" s="21"/>
      <c r="AU122" s="240"/>
      <c r="AV122" s="19"/>
      <c r="AW122" s="195"/>
      <c r="AX122" s="2"/>
      <c r="AY122" s="238"/>
      <c r="BB122" s="19"/>
      <c r="BC122" s="24"/>
      <c r="BG122" s="147" t="s">
        <v>8</v>
      </c>
      <c r="BH122" s="52">
        <f>Q132/1000</f>
        <v>6.321343533681838</v>
      </c>
      <c r="BI122" s="52">
        <f>AJ132/1000</f>
        <v>14.262071089022029</v>
      </c>
      <c r="BJ122" s="52">
        <f>BB132/1000</f>
        <v>0</v>
      </c>
      <c r="BK122" s="137">
        <f t="shared" si="23"/>
        <v>0.69289140555380524</v>
      </c>
      <c r="BL122" s="52">
        <f t="shared" si="24"/>
        <v>20.583414622703867</v>
      </c>
      <c r="BU122" s="106"/>
      <c r="BV122" s="106"/>
      <c r="BW122" s="106"/>
      <c r="BX122" s="106"/>
      <c r="BY122" s="106"/>
      <c r="BZ122" s="106"/>
      <c r="CA122" s="106"/>
      <c r="CB122" s="106"/>
      <c r="CC122" s="106"/>
    </row>
    <row r="123" spans="1:81">
      <c r="A123" s="699"/>
      <c r="B123" s="23"/>
      <c r="C123" s="17" t="s">
        <v>31</v>
      </c>
      <c r="D123" s="57"/>
      <c r="E123" s="2"/>
      <c r="F123" s="2"/>
      <c r="G123" s="63"/>
      <c r="H123" s="2"/>
      <c r="I123" s="20"/>
      <c r="J123" s="21"/>
      <c r="K123" s="21"/>
      <c r="L123" s="22"/>
      <c r="M123" s="2"/>
      <c r="N123" s="23"/>
      <c r="O123" s="19"/>
      <c r="P123" s="19"/>
      <c r="Q123" s="19"/>
      <c r="R123" s="33"/>
      <c r="T123" s="57"/>
      <c r="U123" s="2"/>
      <c r="V123" s="2"/>
      <c r="W123" s="199">
        <f>SUMIF([2]ACT!$T$62:$T$98,C123,[2]ACT!$Q$62:$Q$98)</f>
        <v>505.53852884943052</v>
      </c>
      <c r="X123" s="198"/>
      <c r="Y123" s="198"/>
      <c r="Z123" s="198"/>
      <c r="AA123" s="274"/>
      <c r="AB123" s="21"/>
      <c r="AC123" s="21"/>
      <c r="AD123" s="21"/>
      <c r="AE123" s="21"/>
      <c r="AF123" s="70"/>
      <c r="AG123" s="20"/>
      <c r="AH123" s="21"/>
      <c r="AI123" s="21"/>
      <c r="AJ123" s="22">
        <f>W123</f>
        <v>505.53852884943052</v>
      </c>
      <c r="AK123" s="29"/>
      <c r="AL123" s="19"/>
      <c r="AM123" s="57"/>
      <c r="AN123" s="2"/>
      <c r="AO123" s="2"/>
      <c r="AP123" s="63"/>
      <c r="AQ123" s="68"/>
      <c r="AR123" s="21"/>
      <c r="AS123" s="21"/>
      <c r="AT123" s="21"/>
      <c r="AU123" s="240"/>
      <c r="AV123" s="19"/>
      <c r="AW123" s="195"/>
      <c r="AX123" s="2"/>
      <c r="AY123" s="238"/>
      <c r="BB123" s="19"/>
      <c r="BC123" s="24"/>
      <c r="BG123" s="147" t="s">
        <v>7</v>
      </c>
      <c r="BH123" s="52">
        <f>Q135/1000</f>
        <v>17.691462615510783</v>
      </c>
      <c r="BI123" s="52">
        <f>AJ135/1000</f>
        <v>9.5009145739321532</v>
      </c>
      <c r="BJ123" s="52">
        <f>BB135/1000</f>
        <v>4.3324942063481995</v>
      </c>
      <c r="BK123" s="137">
        <f t="shared" si="23"/>
        <v>0.43880936440956397</v>
      </c>
      <c r="BL123" s="52">
        <f t="shared" si="24"/>
        <v>31.524871395791138</v>
      </c>
    </row>
    <row r="124" spans="1:81">
      <c r="A124" s="699"/>
      <c r="B124" s="23"/>
      <c r="C124" s="17" t="s">
        <v>32</v>
      </c>
      <c r="D124" s="57"/>
      <c r="E124" s="2"/>
      <c r="F124" s="2"/>
      <c r="G124" s="63"/>
      <c r="H124" s="2"/>
      <c r="I124" s="20"/>
      <c r="J124" s="21"/>
      <c r="K124" s="21"/>
      <c r="L124" s="22"/>
      <c r="M124" s="2"/>
      <c r="N124" s="23"/>
      <c r="O124" s="19"/>
      <c r="P124" s="19"/>
      <c r="Q124" s="19"/>
      <c r="R124" s="33"/>
      <c r="T124" s="57"/>
      <c r="U124" s="2"/>
      <c r="V124" s="2"/>
      <c r="W124" s="199"/>
      <c r="X124" s="198"/>
      <c r="Y124" s="198"/>
      <c r="Z124" s="198"/>
      <c r="AA124" s="274"/>
      <c r="AB124" s="21"/>
      <c r="AC124" s="21"/>
      <c r="AD124" s="21"/>
      <c r="AE124" s="21"/>
      <c r="AF124" s="70"/>
      <c r="AG124" s="20"/>
      <c r="AH124" s="21"/>
      <c r="AI124" s="21"/>
      <c r="AJ124" s="22"/>
      <c r="AK124" s="29"/>
      <c r="AL124" s="19"/>
      <c r="AM124" s="57"/>
      <c r="AN124" s="2"/>
      <c r="AO124" s="2"/>
      <c r="AP124" s="63"/>
      <c r="AQ124" s="68"/>
      <c r="AR124" s="21"/>
      <c r="AS124" s="21"/>
      <c r="AT124" s="21"/>
      <c r="AU124" s="240"/>
      <c r="AV124" s="19"/>
      <c r="AW124" s="195"/>
      <c r="AX124" s="2"/>
      <c r="AY124" s="238"/>
      <c r="BB124" s="19"/>
      <c r="BC124" s="24"/>
      <c r="BG124" s="147" t="s">
        <v>11</v>
      </c>
      <c r="BH124" s="52">
        <f>Q140/1000</f>
        <v>0</v>
      </c>
      <c r="BI124" s="52">
        <f>AJ140/1000</f>
        <v>0</v>
      </c>
      <c r="BJ124" s="52">
        <f>BB140/1000</f>
        <v>0</v>
      </c>
      <c r="BK124" s="137">
        <v>0</v>
      </c>
      <c r="BL124" s="52">
        <f t="shared" si="24"/>
        <v>0</v>
      </c>
    </row>
    <row r="125" spans="1:81" s="90" customFormat="1">
      <c r="A125" s="699"/>
      <c r="B125" s="91" t="s">
        <v>42</v>
      </c>
      <c r="C125" s="92"/>
      <c r="D125" s="93"/>
      <c r="E125" s="94"/>
      <c r="F125" s="94"/>
      <c r="G125" s="95"/>
      <c r="H125" s="94"/>
      <c r="I125" s="96"/>
      <c r="J125" s="97"/>
      <c r="K125" s="97"/>
      <c r="L125" s="98"/>
      <c r="M125" s="94"/>
      <c r="N125" s="96"/>
      <c r="O125" s="97"/>
      <c r="P125" s="97"/>
      <c r="Q125" s="97"/>
      <c r="R125" s="99"/>
      <c r="T125" s="93"/>
      <c r="U125" s="94"/>
      <c r="V125" s="94"/>
      <c r="W125" s="199"/>
      <c r="X125" s="289"/>
      <c r="Y125" s="289"/>
      <c r="Z125" s="289"/>
      <c r="AA125" s="280"/>
      <c r="AB125" s="97"/>
      <c r="AC125" s="97"/>
      <c r="AD125" s="97"/>
      <c r="AE125" s="97"/>
      <c r="AF125" s="101"/>
      <c r="AG125" s="96"/>
      <c r="AH125" s="97"/>
      <c r="AI125" s="97"/>
      <c r="AJ125" s="98"/>
      <c r="AK125" s="102"/>
      <c r="AL125" s="103"/>
      <c r="AM125" s="93"/>
      <c r="AN125" s="94"/>
      <c r="AO125" s="94"/>
      <c r="AP125" s="95"/>
      <c r="AQ125" s="100"/>
      <c r="AR125" s="97"/>
      <c r="AS125" s="128"/>
      <c r="AT125" s="128"/>
      <c r="AU125" s="104"/>
      <c r="AV125" s="97"/>
      <c r="AW125" s="98"/>
      <c r="AX125" s="94"/>
      <c r="AY125" s="239"/>
      <c r="BB125" s="97"/>
      <c r="BC125" s="105"/>
      <c r="BG125" s="147" t="s">
        <v>1</v>
      </c>
      <c r="BH125" s="52">
        <f>Q141/1000</f>
        <v>0</v>
      </c>
      <c r="BI125" s="52">
        <f>AJ141/1000</f>
        <v>0</v>
      </c>
      <c r="BJ125" s="52">
        <f>BB141/1000</f>
        <v>0</v>
      </c>
      <c r="BK125" s="137">
        <v>0</v>
      </c>
      <c r="BL125" s="52">
        <f t="shared" si="24"/>
        <v>0</v>
      </c>
      <c r="BM125" s="6"/>
      <c r="BN125" s="6"/>
      <c r="BO125" s="6"/>
      <c r="BU125" s="6"/>
      <c r="BV125" s="6"/>
      <c r="BW125" s="6"/>
      <c r="BX125" s="6"/>
      <c r="BY125" s="6"/>
      <c r="BZ125" s="6"/>
      <c r="CA125" s="6"/>
      <c r="CB125" s="6"/>
      <c r="CC125" s="6"/>
    </row>
    <row r="126" spans="1:81">
      <c r="A126" s="699"/>
      <c r="B126" s="23"/>
      <c r="C126" s="17" t="s">
        <v>33</v>
      </c>
      <c r="D126" s="57"/>
      <c r="E126" s="2"/>
      <c r="F126" s="2"/>
      <c r="G126" s="63"/>
      <c r="H126" s="2"/>
      <c r="I126" s="20"/>
      <c r="J126" s="21"/>
      <c r="K126" s="21"/>
      <c r="L126" s="22"/>
      <c r="M126" s="2"/>
      <c r="N126" s="23"/>
      <c r="O126" s="19"/>
      <c r="P126" s="19"/>
      <c r="Q126" s="19"/>
      <c r="R126" s="33"/>
      <c r="T126" s="57"/>
      <c r="U126" s="2"/>
      <c r="V126" s="2"/>
      <c r="W126" s="199"/>
      <c r="X126" s="198"/>
      <c r="Y126" s="198"/>
      <c r="Z126" s="198"/>
      <c r="AA126" s="274"/>
      <c r="AB126" s="21"/>
      <c r="AC126" s="21"/>
      <c r="AD126" s="21"/>
      <c r="AE126" s="21"/>
      <c r="AF126" s="70"/>
      <c r="AG126" s="20"/>
      <c r="AH126" s="21"/>
      <c r="AI126" s="21"/>
      <c r="AJ126" s="22"/>
      <c r="AK126" s="29"/>
      <c r="AL126" s="19"/>
      <c r="AM126" s="57"/>
      <c r="AN126" s="2"/>
      <c r="AO126" s="2"/>
      <c r="AP126" s="63"/>
      <c r="AQ126" s="68"/>
      <c r="AR126" s="21"/>
      <c r="AS126" s="21"/>
      <c r="AT126" s="21"/>
      <c r="AU126" s="240"/>
      <c r="AV126" s="19"/>
      <c r="AW126" s="195"/>
      <c r="AX126" s="2"/>
      <c r="AY126" s="238"/>
      <c r="BB126" s="19"/>
      <c r="BC126" s="24"/>
      <c r="BG126" s="142"/>
      <c r="BU126" s="90"/>
      <c r="BV126" s="90"/>
      <c r="BW126" s="90"/>
      <c r="BX126" s="90"/>
      <c r="BY126" s="90"/>
      <c r="BZ126" s="90"/>
      <c r="CA126" s="90"/>
      <c r="CB126" s="90"/>
      <c r="CC126" s="90"/>
    </row>
    <row r="127" spans="1:81">
      <c r="A127" s="699"/>
      <c r="B127" s="23"/>
      <c r="C127" s="17" t="s">
        <v>34</v>
      </c>
      <c r="D127" s="57"/>
      <c r="E127" s="2"/>
      <c r="F127" s="2"/>
      <c r="G127" s="63"/>
      <c r="H127" s="2"/>
      <c r="I127" s="20"/>
      <c r="J127" s="21"/>
      <c r="K127" s="21"/>
      <c r="L127" s="22"/>
      <c r="M127" s="2"/>
      <c r="N127" s="23"/>
      <c r="O127" s="19"/>
      <c r="P127" s="19"/>
      <c r="Q127" s="19"/>
      <c r="R127" s="33"/>
      <c r="T127" s="57"/>
      <c r="U127" s="2"/>
      <c r="V127" s="2"/>
      <c r="W127" s="199"/>
      <c r="X127" s="198"/>
      <c r="Y127" s="198"/>
      <c r="Z127" s="198"/>
      <c r="AA127" s="274"/>
      <c r="AB127" s="21"/>
      <c r="AC127" s="21"/>
      <c r="AD127" s="21"/>
      <c r="AE127" s="21"/>
      <c r="AF127" s="70"/>
      <c r="AG127" s="20"/>
      <c r="AH127" s="21"/>
      <c r="AI127" s="21"/>
      <c r="AJ127" s="22"/>
      <c r="AK127" s="29"/>
      <c r="AL127" s="19"/>
      <c r="AM127" s="57"/>
      <c r="AN127" s="2"/>
      <c r="AO127" s="2"/>
      <c r="AP127" s="63"/>
      <c r="AQ127" s="68"/>
      <c r="AR127" s="21"/>
      <c r="AS127" s="21"/>
      <c r="AT127" s="21"/>
      <c r="AU127" s="240"/>
      <c r="AV127" s="19"/>
      <c r="AW127" s="195"/>
      <c r="AX127" s="2"/>
      <c r="AY127" s="238"/>
      <c r="BB127" s="19"/>
      <c r="BC127" s="24"/>
    </row>
    <row r="128" spans="1:81">
      <c r="A128" s="699"/>
      <c r="B128" s="23"/>
      <c r="C128" s="17" t="s">
        <v>35</v>
      </c>
      <c r="D128" s="57"/>
      <c r="E128" s="2"/>
      <c r="F128" s="2"/>
      <c r="G128" s="63"/>
      <c r="H128" s="2"/>
      <c r="I128" s="20"/>
      <c r="J128" s="21"/>
      <c r="K128" s="21"/>
      <c r="L128" s="22"/>
      <c r="M128" s="2"/>
      <c r="N128" s="23"/>
      <c r="O128" s="19"/>
      <c r="P128" s="19"/>
      <c r="Q128" s="19"/>
      <c r="R128" s="33"/>
      <c r="T128" s="57"/>
      <c r="U128" s="2"/>
      <c r="V128" s="2"/>
      <c r="W128" s="199"/>
      <c r="X128" s="198"/>
      <c r="Y128" s="198"/>
      <c r="Z128" s="198"/>
      <c r="AA128" s="274"/>
      <c r="AB128" s="21"/>
      <c r="AC128" s="21"/>
      <c r="AD128" s="21"/>
      <c r="AE128" s="21"/>
      <c r="AF128" s="70"/>
      <c r="AG128" s="20"/>
      <c r="AH128" s="21"/>
      <c r="AI128" s="21"/>
      <c r="AJ128" s="22"/>
      <c r="AK128" s="29"/>
      <c r="AL128" s="19"/>
      <c r="AM128" s="57"/>
      <c r="AN128" s="2"/>
      <c r="AO128" s="2"/>
      <c r="AP128" s="63"/>
      <c r="AQ128" s="68"/>
      <c r="AR128" s="21"/>
      <c r="AS128" s="21"/>
      <c r="AT128" s="21"/>
      <c r="AU128" s="240"/>
      <c r="AV128" s="19"/>
      <c r="AW128" s="195"/>
      <c r="AX128" s="2"/>
      <c r="AY128" s="238"/>
      <c r="BB128" s="19"/>
      <c r="BC128" s="24"/>
    </row>
    <row r="129" spans="1:81">
      <c r="A129" s="699"/>
      <c r="B129" s="23"/>
      <c r="C129" s="17" t="s">
        <v>36</v>
      </c>
      <c r="D129" s="57"/>
      <c r="E129" s="2"/>
      <c r="F129" s="2"/>
      <c r="G129" s="63"/>
      <c r="H129" s="2"/>
      <c r="I129" s="20"/>
      <c r="J129" s="21"/>
      <c r="K129" s="21"/>
      <c r="L129" s="22"/>
      <c r="M129" s="2"/>
      <c r="N129" s="23"/>
      <c r="O129" s="19"/>
      <c r="P129" s="19"/>
      <c r="Q129" s="19"/>
      <c r="R129" s="33"/>
      <c r="T129" s="57"/>
      <c r="U129" s="2"/>
      <c r="V129" s="2"/>
      <c r="W129" s="199"/>
      <c r="X129" s="198"/>
      <c r="Y129" s="198"/>
      <c r="Z129" s="198"/>
      <c r="AA129" s="274"/>
      <c r="AB129" s="21"/>
      <c r="AC129" s="21"/>
      <c r="AD129" s="21"/>
      <c r="AE129" s="21"/>
      <c r="AF129" s="70"/>
      <c r="AG129" s="20"/>
      <c r="AH129" s="21"/>
      <c r="AI129" s="21"/>
      <c r="AJ129" s="22"/>
      <c r="AK129" s="29"/>
      <c r="AL129" s="19"/>
      <c r="AM129" s="57"/>
      <c r="AN129" s="2"/>
      <c r="AO129" s="2"/>
      <c r="AP129" s="63"/>
      <c r="AQ129" s="68"/>
      <c r="AR129" s="21"/>
      <c r="AS129" s="21"/>
      <c r="AT129" s="21"/>
      <c r="AU129" s="240"/>
      <c r="AV129" s="19"/>
      <c r="AW129" s="195"/>
      <c r="AX129" s="2"/>
      <c r="AY129" s="238"/>
      <c r="BB129" s="19"/>
      <c r="BC129" s="24"/>
    </row>
    <row r="130" spans="1:81" s="90" customFormat="1">
      <c r="A130" s="699"/>
      <c r="B130" s="91" t="s">
        <v>43</v>
      </c>
      <c r="C130" s="92"/>
      <c r="D130" s="93"/>
      <c r="E130" s="94"/>
      <c r="F130" s="94"/>
      <c r="G130" s="95"/>
      <c r="H130" s="94"/>
      <c r="I130" s="96"/>
      <c r="J130" s="97"/>
      <c r="K130" s="97"/>
      <c r="L130" s="98"/>
      <c r="M130" s="94"/>
      <c r="N130" s="96"/>
      <c r="O130" s="97"/>
      <c r="P130" s="97"/>
      <c r="Q130" s="97"/>
      <c r="R130" s="99"/>
      <c r="T130" s="93"/>
      <c r="U130" s="94"/>
      <c r="V130" s="94"/>
      <c r="W130" s="199"/>
      <c r="X130" s="289"/>
      <c r="Y130" s="289"/>
      <c r="Z130" s="289"/>
      <c r="AA130" s="280"/>
      <c r="AB130" s="97"/>
      <c r="AC130" s="97"/>
      <c r="AD130" s="97"/>
      <c r="AE130" s="97"/>
      <c r="AF130" s="101"/>
      <c r="AG130" s="96"/>
      <c r="AH130" s="97"/>
      <c r="AI130" s="97"/>
      <c r="AJ130" s="98"/>
      <c r="AK130" s="102"/>
      <c r="AL130" s="103"/>
      <c r="AM130" s="93"/>
      <c r="AN130" s="94"/>
      <c r="AO130" s="94"/>
      <c r="AP130" s="95"/>
      <c r="AQ130" s="100"/>
      <c r="AR130" s="97"/>
      <c r="AS130" s="97"/>
      <c r="AT130" s="97"/>
      <c r="AU130" s="104"/>
      <c r="AV130" s="97"/>
      <c r="AW130" s="98"/>
      <c r="AX130" s="94"/>
      <c r="AY130" s="239"/>
      <c r="BB130" s="97"/>
      <c r="BC130" s="105"/>
      <c r="BG130" s="143"/>
      <c r="BU130" s="6"/>
      <c r="BV130" s="6"/>
      <c r="BW130" s="6"/>
      <c r="BX130" s="6"/>
      <c r="BY130" s="6"/>
      <c r="BZ130" s="6"/>
      <c r="CA130" s="6"/>
      <c r="CB130" s="6"/>
      <c r="CC130" s="6"/>
    </row>
    <row r="131" spans="1:81" s="106" customFormat="1">
      <c r="A131" s="699"/>
      <c r="B131" s="107" t="s">
        <v>67</v>
      </c>
      <c r="C131" s="108"/>
      <c r="D131" s="109"/>
      <c r="E131" s="110"/>
      <c r="F131" s="110"/>
      <c r="G131" s="111"/>
      <c r="H131" s="110"/>
      <c r="I131" s="112">
        <f>D144*[2]ACT!$J$785</f>
        <v>8975.9640702596389</v>
      </c>
      <c r="J131" s="113">
        <f>$E$144*[2]ACT!J676</f>
        <v>12892.038321167884</v>
      </c>
      <c r="K131" s="113">
        <f>F144*[2]ACT!$J$691</f>
        <v>1419.580646364665</v>
      </c>
      <c r="L131" s="114">
        <f>SUM(I131:K131)</f>
        <v>23287.583037792188</v>
      </c>
      <c r="M131" s="110"/>
      <c r="N131" s="112">
        <f t="shared" ref="N131:P132" si="25">I131-AU131</f>
        <v>8975.9640702596389</v>
      </c>
      <c r="O131" s="113">
        <f t="shared" si="25"/>
        <v>12892.038321167884</v>
      </c>
      <c r="P131" s="113">
        <f t="shared" si="25"/>
        <v>1419.580646364665</v>
      </c>
      <c r="Q131" s="114">
        <f>SUM(N131:P131)</f>
        <v>23287.583037792188</v>
      </c>
      <c r="R131" s="115">
        <f>Q131/[2]Popn!$B$41*1000</f>
        <v>66.308938150438351</v>
      </c>
      <c r="T131" s="202"/>
      <c r="U131" s="130"/>
      <c r="V131" s="130"/>
      <c r="W131" s="203"/>
      <c r="X131" s="130">
        <f>[2]PACIA!$H$17*[2]PACIA!I17</f>
        <v>695.08200000000011</v>
      </c>
      <c r="Y131" s="130">
        <f>[2]PACIA!$H$17*[2]PACIA!J17</f>
        <v>550.58466666666675</v>
      </c>
      <c r="Z131" s="130">
        <f>[2]PACIA!$H$17*[2]PACIA!K17</f>
        <v>0</v>
      </c>
      <c r="AA131" s="276"/>
      <c r="AB131" s="113"/>
      <c r="AC131" s="113"/>
      <c r="AD131" s="113"/>
      <c r="AE131" s="113"/>
      <c r="AF131" s="117"/>
      <c r="AG131" s="112"/>
      <c r="AH131" s="113"/>
      <c r="AI131" s="113"/>
      <c r="AJ131" s="114">
        <f>SUM(X131:Z131)</f>
        <v>1245.666666666667</v>
      </c>
      <c r="AK131" s="118">
        <f>AJ131/[2]Popn!$B$41*1000</f>
        <v>3.5469045380114137</v>
      </c>
      <c r="AL131" s="119"/>
      <c r="AM131" s="109"/>
      <c r="AN131" s="110"/>
      <c r="AO131" s="110"/>
      <c r="AP131" s="111"/>
      <c r="AQ131" s="116"/>
      <c r="AR131" s="113"/>
      <c r="AS131" s="113"/>
      <c r="AT131" s="113"/>
      <c r="AU131" s="120"/>
      <c r="AV131" s="113"/>
      <c r="AW131" s="114"/>
      <c r="AX131" s="110"/>
      <c r="AY131" s="237"/>
      <c r="BB131" s="113"/>
      <c r="BC131" s="118"/>
      <c r="BG131" s="144"/>
      <c r="BU131" s="90"/>
      <c r="BV131" s="90"/>
      <c r="BW131" s="90"/>
      <c r="BX131" s="90"/>
      <c r="BY131" s="90"/>
      <c r="BZ131" s="90"/>
      <c r="CA131" s="90"/>
      <c r="CB131" s="90"/>
      <c r="CC131" s="90"/>
    </row>
    <row r="132" spans="1:81" s="106" customFormat="1">
      <c r="A132" s="699"/>
      <c r="B132" s="37" t="s">
        <v>8</v>
      </c>
      <c r="C132" s="129" t="s">
        <v>8</v>
      </c>
      <c r="D132" s="109"/>
      <c r="E132" s="110"/>
      <c r="F132" s="110"/>
      <c r="G132" s="111"/>
      <c r="H132" s="110"/>
      <c r="I132" s="112">
        <f>D144*[2]ACT!$J$786</f>
        <v>3410.8663466986627</v>
      </c>
      <c r="J132" s="113">
        <f>$E$144*[2]ACT!J677</f>
        <v>2534.7058394160581</v>
      </c>
      <c r="K132" s="113">
        <f>F144*[2]ACT!$J$692</f>
        <v>375.77134756711723</v>
      </c>
      <c r="L132" s="114">
        <f>SUM(I132:K132)</f>
        <v>6321.3435336818384</v>
      </c>
      <c r="M132" s="110"/>
      <c r="N132" s="112">
        <f t="shared" si="25"/>
        <v>3410.8663466986627</v>
      </c>
      <c r="O132" s="113">
        <f t="shared" si="25"/>
        <v>2534.7058394160581</v>
      </c>
      <c r="P132" s="113">
        <f t="shared" si="25"/>
        <v>375.77134756711723</v>
      </c>
      <c r="Q132" s="114">
        <f>SUM(N132:P132)</f>
        <v>6321.3435336818384</v>
      </c>
      <c r="R132" s="115">
        <f>Q132/[2]Popn!$B$41*1000</f>
        <v>17.999359432120855</v>
      </c>
      <c r="T132" s="109"/>
      <c r="U132" s="110"/>
      <c r="V132" s="110"/>
      <c r="W132" s="203">
        <f>SUMIF([2]ACT!$T$62:$T$98,C132,[2]ACT!$Q$62:$Q$98)</f>
        <v>14262.071089022029</v>
      </c>
      <c r="X132" s="198"/>
      <c r="Y132" s="198"/>
      <c r="Z132" s="198"/>
      <c r="AA132" s="276"/>
      <c r="AB132" s="113"/>
      <c r="AC132" s="113"/>
      <c r="AD132" s="113"/>
      <c r="AE132" s="113"/>
      <c r="AF132" s="117"/>
      <c r="AG132" s="112"/>
      <c r="AH132" s="113"/>
      <c r="AI132" s="113"/>
      <c r="AJ132" s="114">
        <f>W132</f>
        <v>14262.071089022029</v>
      </c>
      <c r="AK132" s="118">
        <f>AJ132/[2]Popn!$B$41*1000</f>
        <v>40.609744180166125</v>
      </c>
      <c r="AL132" s="119"/>
      <c r="AM132" s="109"/>
      <c r="AN132" s="110"/>
      <c r="AO132" s="110"/>
      <c r="AP132" s="111"/>
      <c r="AQ132" s="116"/>
      <c r="AR132" s="113"/>
      <c r="AS132" s="113"/>
      <c r="AT132" s="113"/>
      <c r="AU132" s="120"/>
      <c r="AV132" s="113"/>
      <c r="AW132" s="114"/>
      <c r="AX132" s="110"/>
      <c r="AY132" s="237"/>
      <c r="BB132" s="113"/>
      <c r="BC132" s="121"/>
      <c r="BG132" s="144"/>
    </row>
    <row r="133" spans="1:81">
      <c r="A133" s="699"/>
      <c r="B133" s="23" t="s">
        <v>7</v>
      </c>
      <c r="C133" s="17" t="s">
        <v>9</v>
      </c>
      <c r="D133" s="57"/>
      <c r="E133" s="2"/>
      <c r="F133" s="2"/>
      <c r="G133" s="63"/>
      <c r="H133" s="2"/>
      <c r="I133" s="112"/>
      <c r="J133" s="113"/>
      <c r="K133" s="113"/>
      <c r="L133" s="22"/>
      <c r="M133" s="2"/>
      <c r="N133" s="20"/>
      <c r="O133" s="21"/>
      <c r="P133" s="21"/>
      <c r="Q133" s="22"/>
      <c r="R133" s="34"/>
      <c r="T133" s="57"/>
      <c r="U133" s="2"/>
      <c r="V133" s="2"/>
      <c r="W133" s="199">
        <f>SUMIF([2]ACT!$T$62:$T$98,C133,[2]ACT!$Q$62:$Q$98)</f>
        <v>5934.5051993329971</v>
      </c>
      <c r="X133" s="198"/>
      <c r="Y133" s="198"/>
      <c r="Z133" s="198"/>
      <c r="AA133" s="274"/>
      <c r="AB133" s="21"/>
      <c r="AC133" s="21"/>
      <c r="AD133" s="21"/>
      <c r="AE133" s="21"/>
      <c r="AF133" s="70"/>
      <c r="AG133" s="20"/>
      <c r="AH133" s="21"/>
      <c r="AI133" s="21"/>
      <c r="AJ133" s="22">
        <f>W133</f>
        <v>5934.5051993329971</v>
      </c>
      <c r="AK133" s="29">
        <f>AJ133/[2]Popn!$B$41*1000</f>
        <v>16.897878048461223</v>
      </c>
      <c r="AL133" s="19"/>
      <c r="AM133" s="57"/>
      <c r="AN133" s="2"/>
      <c r="AO133" s="2"/>
      <c r="AP133" s="63"/>
      <c r="AQ133" s="68"/>
      <c r="AR133" s="21"/>
      <c r="AS133" s="35"/>
      <c r="AT133" s="21"/>
      <c r="AU133" s="25"/>
      <c r="AV133" s="21"/>
      <c r="AW133" s="22"/>
      <c r="AX133" s="2"/>
      <c r="AY133" s="238"/>
      <c r="BB133" s="21"/>
      <c r="BC133" s="29"/>
      <c r="BU133" s="106"/>
      <c r="BV133" s="106"/>
      <c r="BW133" s="106"/>
      <c r="BX133" s="106"/>
      <c r="BY133" s="106"/>
      <c r="BZ133" s="106"/>
      <c r="CA133" s="106"/>
      <c r="CB133" s="106"/>
      <c r="CC133" s="106"/>
    </row>
    <row r="134" spans="1:81">
      <c r="A134" s="699"/>
      <c r="B134" s="23"/>
      <c r="C134" s="17" t="s">
        <v>10</v>
      </c>
      <c r="D134" s="57"/>
      <c r="E134" s="2"/>
      <c r="F134" s="2"/>
      <c r="G134" s="63"/>
      <c r="H134" s="2"/>
      <c r="I134" s="20"/>
      <c r="J134" s="21"/>
      <c r="K134" s="21"/>
      <c r="L134" s="22"/>
      <c r="M134" s="2"/>
      <c r="N134" s="20"/>
      <c r="O134" s="21"/>
      <c r="P134" s="21"/>
      <c r="Q134" s="22"/>
      <c r="R134" s="33"/>
      <c r="T134" s="57"/>
      <c r="U134" s="2"/>
      <c r="V134" s="2"/>
      <c r="W134" s="199">
        <f>SUMIF([2]ACT!$T$62:$T$98,C134,[2]ACT!$Q$62:$Q$98)</f>
        <v>3566.4093745991568</v>
      </c>
      <c r="X134" s="198"/>
      <c r="Y134" s="198"/>
      <c r="Z134" s="198"/>
      <c r="AA134" s="274"/>
      <c r="AB134" s="21"/>
      <c r="AC134" s="21"/>
      <c r="AD134" s="21"/>
      <c r="AE134" s="21"/>
      <c r="AF134" s="70"/>
      <c r="AG134" s="20"/>
      <c r="AH134" s="21"/>
      <c r="AI134" s="21"/>
      <c r="AJ134" s="22">
        <f>W134</f>
        <v>3566.4093745991568</v>
      </c>
      <c r="AK134" s="29">
        <f>AJ134/[2]Popn!$B$41*1000</f>
        <v>10.154974788738716</v>
      </c>
      <c r="AL134" s="19"/>
      <c r="AM134" s="57"/>
      <c r="AN134" s="2"/>
      <c r="AO134" s="2"/>
      <c r="AP134" s="63"/>
      <c r="AQ134" s="68"/>
      <c r="AR134" s="21"/>
      <c r="AS134" s="21"/>
      <c r="AT134" s="21"/>
      <c r="AU134" s="240"/>
      <c r="AV134" s="21"/>
      <c r="AW134" s="195"/>
      <c r="AX134" s="2"/>
      <c r="AY134" s="238"/>
      <c r="BB134" s="21"/>
      <c r="BC134" s="29"/>
    </row>
    <row r="135" spans="1:81" s="106" customFormat="1">
      <c r="A135" s="699"/>
      <c r="B135" s="107" t="s">
        <v>67</v>
      </c>
      <c r="C135" s="108"/>
      <c r="D135" s="109"/>
      <c r="E135" s="110"/>
      <c r="F135" s="110"/>
      <c r="G135" s="111"/>
      <c r="H135" s="110"/>
      <c r="I135" s="112">
        <f>D144*[2]ACT!$J$787</f>
        <v>5026.5398793453987</v>
      </c>
      <c r="J135" s="113">
        <f>E144*[2]ACT!$J$678</f>
        <v>13197.95109489051</v>
      </c>
      <c r="K135" s="113">
        <f>F144*[2]ACT!$J$693</f>
        <v>3799.4658476230738</v>
      </c>
      <c r="L135" s="114">
        <f>SUM(I135:K135)</f>
        <v>22023.956821858981</v>
      </c>
      <c r="M135" s="110"/>
      <c r="N135" s="112">
        <f>I135-AU135</f>
        <v>4037.7323239460984</v>
      </c>
      <c r="O135" s="113">
        <f>J135-AV135</f>
        <v>10601.685259610254</v>
      </c>
      <c r="P135" s="113">
        <f>K135-AW135</f>
        <v>3052.0450319544307</v>
      </c>
      <c r="Q135" s="114">
        <f>SUM(N135:P135)</f>
        <v>17691.462615510784</v>
      </c>
      <c r="R135" s="115">
        <f>Q135/[2]Popn!$B$41*1000</f>
        <v>50.374575088317734</v>
      </c>
      <c r="T135" s="109"/>
      <c r="U135" s="110"/>
      <c r="V135" s="110"/>
      <c r="W135" s="203">
        <f>SUM(W133:W134)</f>
        <v>9500.9145739321539</v>
      </c>
      <c r="X135" s="130"/>
      <c r="Y135" s="130"/>
      <c r="Z135" s="130"/>
      <c r="AA135" s="276"/>
      <c r="AB135" s="113"/>
      <c r="AC135" s="113"/>
      <c r="AD135" s="113"/>
      <c r="AE135" s="113"/>
      <c r="AF135" s="117"/>
      <c r="AG135" s="112"/>
      <c r="AH135" s="113"/>
      <c r="AI135" s="113"/>
      <c r="AJ135" s="114">
        <f>W135</f>
        <v>9500.9145739321539</v>
      </c>
      <c r="AK135" s="118">
        <f>AJ135/[2]Popn!$B$41*1000</f>
        <v>27.052852837199939</v>
      </c>
      <c r="AL135" s="119"/>
      <c r="AM135" s="109"/>
      <c r="AN135" s="110"/>
      <c r="AO135" s="110"/>
      <c r="AP135" s="111"/>
      <c r="AQ135" s="116"/>
      <c r="AR135" s="113">
        <f>L135*'[2]Lfill en &amp; composn'!$D$25</f>
        <v>3468.7731994427895</v>
      </c>
      <c r="AS135" s="123">
        <f>AR135/SUM($AR$101:$AR$143)</f>
        <v>0.18308307276089994</v>
      </c>
      <c r="AT135" s="113">
        <f>AS135*'[2]Lfill en &amp; composn'!$B$62/'[2]Lfill en &amp; composn'!$B$25</f>
        <v>4332.4942063481994</v>
      </c>
      <c r="AU135" s="120">
        <f>$AT135*I135/SUM($I135:$K135)</f>
        <v>988.8075553993001</v>
      </c>
      <c r="AV135" s="113">
        <f>$AT135*J135/SUM($I135:$K135)</f>
        <v>2596.2658352802564</v>
      </c>
      <c r="AW135" s="114">
        <f>$AT135*K135/SUM($I135:$K135)</f>
        <v>747.42081566864317</v>
      </c>
      <c r="AX135" s="110"/>
      <c r="AY135" s="241">
        <f>AU135</f>
        <v>988.8075553993001</v>
      </c>
      <c r="AZ135" s="242">
        <f>AV135</f>
        <v>2596.2658352802564</v>
      </c>
      <c r="BA135" s="242">
        <f>AW135</f>
        <v>747.42081566864317</v>
      </c>
      <c r="BB135" s="114">
        <f>AT135+AP135</f>
        <v>4332.4942063481994</v>
      </c>
      <c r="BC135" s="118">
        <f>BB135/[2]Popn!$B$41*1000</f>
        <v>12.336320600538869</v>
      </c>
      <c r="BD135" s="122"/>
      <c r="BG135" s="144"/>
      <c r="BU135" s="6"/>
      <c r="BV135" s="6"/>
      <c r="BW135" s="6"/>
      <c r="BX135" s="6"/>
      <c r="BY135" s="6"/>
      <c r="BZ135" s="6"/>
      <c r="CA135" s="6"/>
      <c r="CB135" s="6"/>
      <c r="CC135" s="6"/>
    </row>
    <row r="136" spans="1:81">
      <c r="A136" s="699"/>
      <c r="B136" s="23" t="s">
        <v>11</v>
      </c>
      <c r="C136" s="17" t="s">
        <v>12</v>
      </c>
      <c r="D136" s="57"/>
      <c r="E136" s="2"/>
      <c r="F136" s="2"/>
      <c r="G136" s="63"/>
      <c r="H136" s="2"/>
      <c r="I136" s="112"/>
      <c r="J136" s="21"/>
      <c r="K136" s="21"/>
      <c r="L136" s="22"/>
      <c r="M136" s="2"/>
      <c r="N136" s="20"/>
      <c r="O136" s="21"/>
      <c r="P136" s="21"/>
      <c r="Q136" s="22"/>
      <c r="R136" s="33"/>
      <c r="T136" s="57"/>
      <c r="U136" s="2"/>
      <c r="V136" s="2"/>
      <c r="W136" s="199"/>
      <c r="X136" s="198"/>
      <c r="Y136" s="198"/>
      <c r="Z136" s="198"/>
      <c r="AA136" s="274"/>
      <c r="AB136" s="21"/>
      <c r="AC136" s="21"/>
      <c r="AD136" s="21"/>
      <c r="AE136" s="21"/>
      <c r="AF136" s="70"/>
      <c r="AG136" s="20"/>
      <c r="AH136" s="21"/>
      <c r="AI136" s="21"/>
      <c r="AJ136" s="22"/>
      <c r="AK136" s="29"/>
      <c r="AL136" s="19"/>
      <c r="AM136" s="57"/>
      <c r="AN136" s="2"/>
      <c r="AO136" s="2"/>
      <c r="AP136" s="63"/>
      <c r="AQ136" s="68"/>
      <c r="AR136" s="21"/>
      <c r="AS136" s="21"/>
      <c r="AT136" s="21"/>
      <c r="AU136" s="25"/>
      <c r="AV136" s="21"/>
      <c r="AW136" s="22"/>
      <c r="AX136" s="2"/>
      <c r="AY136" s="23"/>
      <c r="AZ136" s="19"/>
      <c r="BA136" s="19"/>
      <c r="BB136" s="19"/>
      <c r="BC136" s="24"/>
      <c r="BU136" s="106"/>
      <c r="BV136" s="106"/>
      <c r="BW136" s="106"/>
      <c r="BX136" s="106"/>
      <c r="BY136" s="106"/>
      <c r="BZ136" s="106"/>
      <c r="CA136" s="106"/>
      <c r="CB136" s="106"/>
      <c r="CC136" s="106"/>
    </row>
    <row r="137" spans="1:81">
      <c r="A137" s="699"/>
      <c r="B137" s="23"/>
      <c r="C137" s="17" t="s">
        <v>13</v>
      </c>
      <c r="D137" s="57"/>
      <c r="E137" s="2"/>
      <c r="F137" s="2"/>
      <c r="G137" s="156"/>
      <c r="H137" s="3"/>
      <c r="I137" s="20"/>
      <c r="J137" s="21"/>
      <c r="K137" s="21"/>
      <c r="L137" s="22"/>
      <c r="M137" s="83"/>
      <c r="N137" s="20"/>
      <c r="O137" s="21"/>
      <c r="P137" s="21"/>
      <c r="Q137" s="22"/>
      <c r="R137" s="34"/>
      <c r="T137" s="57"/>
      <c r="U137" s="2"/>
      <c r="V137" s="2"/>
      <c r="W137" s="199"/>
      <c r="X137" s="198"/>
      <c r="Y137" s="198"/>
      <c r="Z137" s="198"/>
      <c r="AA137" s="282"/>
      <c r="AB137" s="21"/>
      <c r="AC137" s="21"/>
      <c r="AD137" s="21"/>
      <c r="AE137" s="21"/>
      <c r="AF137" s="70"/>
      <c r="AG137" s="20"/>
      <c r="AH137" s="21"/>
      <c r="AI137" s="21"/>
      <c r="AJ137" s="22"/>
      <c r="AK137" s="29"/>
      <c r="AL137" s="19"/>
      <c r="AM137" s="57"/>
      <c r="AN137" s="2"/>
      <c r="AO137" s="2"/>
      <c r="AP137" s="64"/>
      <c r="AQ137" s="69"/>
      <c r="AR137" s="21"/>
      <c r="AS137" s="21"/>
      <c r="AT137" s="21"/>
      <c r="AU137" s="25"/>
      <c r="AV137" s="21"/>
      <c r="AW137" s="22"/>
      <c r="AX137" s="2"/>
      <c r="AY137" s="20"/>
      <c r="AZ137" s="21"/>
      <c r="BA137" s="21"/>
      <c r="BB137" s="21"/>
      <c r="BC137" s="24"/>
    </row>
    <row r="138" spans="1:81">
      <c r="A138" s="699"/>
      <c r="B138" s="23"/>
      <c r="C138" s="17" t="s">
        <v>14</v>
      </c>
      <c r="D138" s="57"/>
      <c r="E138" s="2"/>
      <c r="F138" s="2"/>
      <c r="G138" s="156"/>
      <c r="H138" s="3"/>
      <c r="I138" s="20"/>
      <c r="J138" s="21"/>
      <c r="K138" s="21"/>
      <c r="L138" s="22"/>
      <c r="M138" s="83"/>
      <c r="N138" s="20"/>
      <c r="O138" s="21"/>
      <c r="P138" s="21"/>
      <c r="Q138" s="22"/>
      <c r="R138" s="34"/>
      <c r="T138" s="57"/>
      <c r="U138" s="2"/>
      <c r="V138" s="2"/>
      <c r="W138" s="199"/>
      <c r="X138" s="198"/>
      <c r="Y138" s="198"/>
      <c r="Z138" s="198"/>
      <c r="AA138" s="282"/>
      <c r="AB138" s="21"/>
      <c r="AC138" s="21"/>
      <c r="AD138" s="21"/>
      <c r="AE138" s="21"/>
      <c r="AF138" s="70"/>
      <c r="AG138" s="20"/>
      <c r="AH138" s="21"/>
      <c r="AI138" s="21"/>
      <c r="AJ138" s="22"/>
      <c r="AK138" s="29"/>
      <c r="AL138" s="19"/>
      <c r="AM138" s="57"/>
      <c r="AN138" s="2"/>
      <c r="AO138" s="2"/>
      <c r="AP138" s="64"/>
      <c r="AQ138" s="69"/>
      <c r="AR138" s="21"/>
      <c r="AS138" s="21"/>
      <c r="AT138" s="21"/>
      <c r="AU138" s="25"/>
      <c r="AV138" s="21"/>
      <c r="AW138" s="22"/>
      <c r="AX138" s="2"/>
      <c r="AY138" s="23"/>
      <c r="AZ138" s="19"/>
      <c r="BA138" s="19"/>
      <c r="BB138" s="21"/>
      <c r="BC138" s="24"/>
    </row>
    <row r="139" spans="1:81">
      <c r="A139" s="699"/>
      <c r="B139" s="23"/>
      <c r="C139" s="17" t="s">
        <v>15</v>
      </c>
      <c r="D139" s="57"/>
      <c r="E139" s="2"/>
      <c r="F139" s="2"/>
      <c r="G139" s="156"/>
      <c r="H139" s="3"/>
      <c r="I139" s="20"/>
      <c r="J139" s="21"/>
      <c r="K139" s="21"/>
      <c r="L139" s="22"/>
      <c r="M139" s="83"/>
      <c r="N139" s="20"/>
      <c r="O139" s="21"/>
      <c r="P139" s="21"/>
      <c r="Q139" s="22"/>
      <c r="R139" s="34"/>
      <c r="T139" s="57"/>
      <c r="U139" s="2"/>
      <c r="V139" s="2"/>
      <c r="W139" s="199"/>
      <c r="X139" s="198"/>
      <c r="Y139" s="198"/>
      <c r="Z139" s="198"/>
      <c r="AA139" s="282"/>
      <c r="AB139" s="21"/>
      <c r="AC139" s="21"/>
      <c r="AD139" s="21"/>
      <c r="AE139" s="21"/>
      <c r="AF139" s="70"/>
      <c r="AG139" s="20"/>
      <c r="AH139" s="21"/>
      <c r="AI139" s="21"/>
      <c r="AJ139" s="22"/>
      <c r="AK139" s="29"/>
      <c r="AL139" s="19"/>
      <c r="AM139" s="57"/>
      <c r="AN139" s="2"/>
      <c r="AO139" s="2"/>
      <c r="AP139" s="64"/>
      <c r="AQ139" s="69"/>
      <c r="AR139" s="21"/>
      <c r="AS139" s="21"/>
      <c r="AT139" s="21"/>
      <c r="AU139" s="25"/>
      <c r="AV139" s="21"/>
      <c r="AW139" s="22"/>
      <c r="AX139" s="2"/>
      <c r="AY139" s="23"/>
      <c r="AZ139" s="19"/>
      <c r="BA139" s="19"/>
      <c r="BB139" s="21"/>
      <c r="BC139" s="24"/>
    </row>
    <row r="140" spans="1:81" s="106" customFormat="1">
      <c r="A140" s="699"/>
      <c r="B140" s="107" t="s">
        <v>67</v>
      </c>
      <c r="C140" s="108"/>
      <c r="D140" s="109"/>
      <c r="E140" s="110"/>
      <c r="F140" s="110"/>
      <c r="G140" s="124"/>
      <c r="H140" s="125"/>
      <c r="I140" s="112">
        <f>D144*[2]ACT!$J$788</f>
        <v>628.31748491817484</v>
      </c>
      <c r="J140" s="113"/>
      <c r="K140" s="113"/>
      <c r="L140" s="114"/>
      <c r="M140" s="110"/>
      <c r="N140" s="112"/>
      <c r="O140" s="113"/>
      <c r="P140" s="113"/>
      <c r="Q140" s="114"/>
      <c r="R140" s="115"/>
      <c r="T140" s="109"/>
      <c r="U140" s="110"/>
      <c r="V140" s="110"/>
      <c r="W140" s="203"/>
      <c r="X140" s="130"/>
      <c r="Y140" s="130"/>
      <c r="Z140" s="130"/>
      <c r="AA140" s="284"/>
      <c r="AB140" s="113"/>
      <c r="AC140" s="113"/>
      <c r="AD140" s="113"/>
      <c r="AE140" s="113"/>
      <c r="AF140" s="117"/>
      <c r="AG140" s="112"/>
      <c r="AH140" s="113"/>
      <c r="AI140" s="113"/>
      <c r="AJ140" s="114">
        <f>W140</f>
        <v>0</v>
      </c>
      <c r="AK140" s="118">
        <f>AJ140/[2]Popn!$B$41*1000</f>
        <v>0</v>
      </c>
      <c r="AL140" s="119"/>
      <c r="AM140" s="109"/>
      <c r="AN140" s="110"/>
      <c r="AO140" s="110"/>
      <c r="AP140" s="124"/>
      <c r="AQ140" s="126"/>
      <c r="AR140" s="113"/>
      <c r="AS140" s="113"/>
      <c r="AT140" s="113"/>
      <c r="AU140" s="120"/>
      <c r="AV140" s="113"/>
      <c r="AW140" s="114"/>
      <c r="AX140" s="110"/>
      <c r="AY140" s="127"/>
      <c r="AZ140" s="119"/>
      <c r="BA140" s="119"/>
      <c r="BB140" s="113"/>
      <c r="BC140" s="121"/>
      <c r="BG140" s="144"/>
      <c r="BU140" s="6"/>
      <c r="BV140" s="6"/>
      <c r="BW140" s="6"/>
      <c r="BX140" s="6"/>
      <c r="BY140" s="6"/>
      <c r="BZ140" s="6"/>
      <c r="CA140" s="6"/>
      <c r="CB140" s="6"/>
      <c r="CC140" s="6"/>
    </row>
    <row r="141" spans="1:81" s="106" customFormat="1" ht="13.5" thickBot="1">
      <c r="A141" s="699"/>
      <c r="B141" s="131" t="s">
        <v>37</v>
      </c>
      <c r="C141" s="132" t="s">
        <v>1</v>
      </c>
      <c r="D141" s="109"/>
      <c r="E141" s="110"/>
      <c r="F141" s="110"/>
      <c r="G141" s="203"/>
      <c r="H141" s="130"/>
      <c r="I141" s="112"/>
      <c r="J141" s="113"/>
      <c r="K141" s="113"/>
      <c r="L141" s="114"/>
      <c r="M141" s="110"/>
      <c r="N141" s="127"/>
      <c r="O141" s="119"/>
      <c r="P141" s="119"/>
      <c r="Q141" s="113"/>
      <c r="R141" s="115"/>
      <c r="T141" s="109"/>
      <c r="U141" s="110"/>
      <c r="V141" s="110"/>
      <c r="W141" s="203"/>
      <c r="X141" s="130"/>
      <c r="Y141" s="130"/>
      <c r="Z141" s="130"/>
      <c r="AA141" s="285"/>
      <c r="AB141" s="113"/>
      <c r="AC141" s="113"/>
      <c r="AD141" s="113"/>
      <c r="AE141" s="113"/>
      <c r="AF141" s="117"/>
      <c r="AG141" s="112"/>
      <c r="AH141" s="113"/>
      <c r="AI141" s="113"/>
      <c r="AJ141" s="114">
        <f>W141</f>
        <v>0</v>
      </c>
      <c r="AK141" s="118">
        <f>AJ141/[2]Popn!$B$41*1000</f>
        <v>0</v>
      </c>
      <c r="AL141" s="119"/>
      <c r="AM141" s="109"/>
      <c r="AN141" s="110"/>
      <c r="AO141" s="110"/>
      <c r="AP141" s="111"/>
      <c r="AQ141" s="117"/>
      <c r="AR141" s="113"/>
      <c r="AS141" s="113"/>
      <c r="AT141" s="113"/>
      <c r="AU141" s="120"/>
      <c r="AV141" s="113"/>
      <c r="AW141" s="114"/>
      <c r="AX141" s="110"/>
      <c r="AY141" s="127"/>
      <c r="AZ141" s="119"/>
      <c r="BA141" s="119"/>
      <c r="BB141" s="119"/>
      <c r="BC141" s="121"/>
      <c r="BG141" s="144"/>
    </row>
    <row r="142" spans="1:81"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c r="BU142" s="106"/>
      <c r="BV142" s="106"/>
      <c r="BW142" s="106"/>
      <c r="BX142" s="106"/>
      <c r="BY142" s="106"/>
      <c r="BZ142" s="106"/>
      <c r="CA142" s="106"/>
      <c r="CB142" s="106"/>
      <c r="CC142" s="106"/>
    </row>
    <row r="143" spans="1:81" ht="13.5" thickBot="1">
      <c r="C143" s="39" t="s">
        <v>88</v>
      </c>
      <c r="D143" s="206"/>
      <c r="E143" s="207"/>
      <c r="F143" s="198"/>
      <c r="G143" s="208"/>
      <c r="H143" s="2"/>
      <c r="I143" s="20"/>
      <c r="J143" s="21"/>
      <c r="K143" s="21"/>
      <c r="L143" s="22"/>
      <c r="M143" s="2"/>
      <c r="N143" s="23"/>
      <c r="O143" s="19"/>
      <c r="P143" s="19"/>
      <c r="Q143" s="19"/>
      <c r="R143" s="24"/>
      <c r="T143" s="58"/>
      <c r="U143" s="59"/>
      <c r="V143" s="2"/>
      <c r="W143" s="199">
        <f>SUMIF([2]ACT!$T$62:$T$98,C143,[2]ACT!$Q$62:$Q$98)</f>
        <v>2319.9492981767517</v>
      </c>
      <c r="X143" s="198"/>
      <c r="Y143" s="198"/>
      <c r="Z143" s="198"/>
      <c r="AA143" s="274"/>
      <c r="AB143" s="21"/>
      <c r="AC143" s="21"/>
      <c r="AD143" s="21"/>
      <c r="AE143" s="21"/>
      <c r="AF143" s="70"/>
      <c r="AG143" s="20"/>
      <c r="AH143" s="21"/>
      <c r="AI143" s="21"/>
      <c r="AJ143" s="22">
        <f>W143</f>
        <v>2319.9492981767517</v>
      </c>
      <c r="AK143" s="29">
        <f>AJ143/[2]Popn!$B$41*1000</f>
        <v>6.6058111000745354</v>
      </c>
      <c r="AL143" s="19"/>
      <c r="AM143" s="58"/>
      <c r="AN143" s="59"/>
      <c r="AO143" s="2"/>
      <c r="AP143" s="65"/>
      <c r="AQ143" s="68"/>
      <c r="AR143" s="21"/>
      <c r="AS143" s="21"/>
      <c r="AT143" s="21"/>
      <c r="AU143" s="25"/>
      <c r="AV143" s="21"/>
      <c r="AW143" s="22"/>
      <c r="AX143" s="2"/>
      <c r="AY143" s="23"/>
      <c r="AZ143" s="19"/>
      <c r="BA143" s="19"/>
      <c r="BB143" s="19"/>
      <c r="BC143" s="24"/>
    </row>
    <row r="144" spans="1:81" ht="13.5" thickBot="1">
      <c r="C144" s="135" t="s">
        <v>92</v>
      </c>
      <c r="D144" s="134">
        <f>[2]ACT!$M$55</f>
        <v>78629.445255474449</v>
      </c>
      <c r="E144" s="134">
        <f>[2]ACT!$M$53</f>
        <v>87403.649635036491</v>
      </c>
      <c r="F144" s="226">
        <f>[2]ACT!$M$54</f>
        <v>24508.642335766424</v>
      </c>
      <c r="G144" s="66">
        <f>[2]ACT!$M$52</f>
        <v>190541.73722627736</v>
      </c>
      <c r="H144" s="231"/>
      <c r="I144" s="41">
        <f>SUM(I140,I135,I132,I131,I121,I116,I110,I106)</f>
        <v>78629.445255474435</v>
      </c>
      <c r="J144" s="218">
        <f>SUM(J140,J135,J132,J131,J121,J116,J110,J106)</f>
        <v>80762.807640206462</v>
      </c>
      <c r="K144" s="218">
        <f>SUM(K140,K135,K132,K131,K121,K116,K110,K106)</f>
        <v>24508.642335766424</v>
      </c>
      <c r="L144" s="42">
        <f>SUM(L140,L135,L132,L131,L121,L116,L110,L106)</f>
        <v>183272.57774652919</v>
      </c>
      <c r="M144" s="43"/>
      <c r="N144" s="44">
        <f>SUM(N140,N135,N132,N131,N121,N116,N110,N106)</f>
        <v>63252.564054421884</v>
      </c>
      <c r="O144" s="45">
        <f>SUM(O140,O135,O132,O131,O121,O116,O110,O106)</f>
        <v>67274.22967897635</v>
      </c>
      <c r="P144" s="45">
        <f>SUM(P140,P135,P132,P131,P121,P116,P110,P106)</f>
        <v>21742.125311964828</v>
      </c>
      <c r="Q144" s="133">
        <f>SUM(Q140,Q135,Q132,Q131,Q121,Q116,Q110,Q106)</f>
        <v>152268.91904536303</v>
      </c>
      <c r="R144" s="27">
        <f>SUM(R140,R135,R132,R131,R121,R116,R110,R106)</f>
        <v>433.56969758637194</v>
      </c>
      <c r="T144" s="60"/>
      <c r="U144" s="134"/>
      <c r="V144" s="134"/>
      <c r="W144" s="66">
        <f>SUM(W106,W110,W116,W121,W131,W132,W135,W143)</f>
        <v>513601.28884305555</v>
      </c>
      <c r="X144" s="288"/>
      <c r="Y144" s="288"/>
      <c r="Z144" s="288"/>
      <c r="AA144" s="287"/>
      <c r="AB144" s="45"/>
      <c r="AC144" s="45"/>
      <c r="AD144" s="45"/>
      <c r="AE144" s="45"/>
      <c r="AF144" s="85"/>
      <c r="AG144" s="44"/>
      <c r="AH144" s="45"/>
      <c r="AI144" s="45"/>
      <c r="AJ144" s="354">
        <f>SUM(AJ140,AJ135,AJ132,AJ131,AJ121,AJ116,AJ110,AJ106,AJ143)</f>
        <v>556103.40303686343</v>
      </c>
      <c r="AK144" s="27">
        <f>SUM(AK140,AK135,AK132,AK131,AK121,AK116,AK110,AK106,AK143)</f>
        <v>1583.4458259312607</v>
      </c>
      <c r="AL144" s="19"/>
      <c r="AM144" s="60"/>
      <c r="AN144" s="706"/>
      <c r="AO144" s="707"/>
      <c r="AP144" s="66"/>
      <c r="AQ144" s="71"/>
      <c r="AR144" s="45">
        <f>SUM(AR101:AR143)</f>
        <v>18946.444076634467</v>
      </c>
      <c r="AS144" s="46">
        <f>SUM(AS101:AS143)</f>
        <v>1</v>
      </c>
      <c r="AT144" s="45">
        <f>SUM(AT101:AT143)</f>
        <v>51366.126916881745</v>
      </c>
      <c r="AU144" s="47"/>
      <c r="AV144" s="45"/>
      <c r="AW144" s="214"/>
      <c r="AX144" s="43"/>
      <c r="AY144" s="44">
        <f>SUM(AY140,AY135,AY132,AY131,AY121,AY116,AY110,AY106)</f>
        <v>14748.563716134377</v>
      </c>
      <c r="AZ144" s="45">
        <f>SUM(AZ140,AZ135,AZ132,AZ131,AZ121,AZ116,AZ110,AZ106)</f>
        <v>13488.577961230119</v>
      </c>
      <c r="BA144" s="45">
        <f>SUM(BA140,BA135,BA132,BA131,BA121,BA116,BA110,BA106)</f>
        <v>2766.5170238015953</v>
      </c>
      <c r="BB144" s="354">
        <f>SUM(BB140,BB135,BB132,BB131,BB121,BB116,BB110,BB106,BB143)</f>
        <v>31003.658701166092</v>
      </c>
      <c r="BC144" s="27">
        <f>SUM(BC140,BC135,BC132,BC131,BC121,BC116,BC110,BC106,BC143)</f>
        <v>88.279650314789706</v>
      </c>
    </row>
    <row r="145" spans="1:81" ht="13.5" thickBot="1">
      <c r="C145" s="136" t="s">
        <v>65</v>
      </c>
      <c r="Q145" s="49">
        <f>Q144+Q141</f>
        <v>152268.91904536303</v>
      </c>
      <c r="R145" s="50">
        <f>R144+H141/[2]Popn!$B$41*1000</f>
        <v>433.56969758637194</v>
      </c>
      <c r="AJ145" s="353">
        <f>AJ144+AJ141</f>
        <v>556103.40303686343</v>
      </c>
      <c r="AK145" s="216">
        <f>AK144+AK141</f>
        <v>1583.4458259312607</v>
      </c>
      <c r="BB145" s="353">
        <f>BB144+BB141</f>
        <v>31003.658701166092</v>
      </c>
      <c r="BC145" s="216">
        <f>BC144+BC141</f>
        <v>88.279650314789706</v>
      </c>
    </row>
    <row r="147" spans="1:81" ht="13.5" thickBot="1">
      <c r="C147" s="89"/>
      <c r="AT147" s="215"/>
      <c r="AU147" s="215"/>
      <c r="AV147" s="215"/>
      <c r="AW147" s="215"/>
    </row>
    <row r="148" spans="1:81">
      <c r="A148" s="699" t="s">
        <v>83</v>
      </c>
      <c r="B148" s="16" t="s">
        <v>3</v>
      </c>
      <c r="C148" s="148" t="s">
        <v>16</v>
      </c>
      <c r="D148" s="55"/>
      <c r="E148" s="56"/>
      <c r="F148" s="56"/>
      <c r="G148" s="149"/>
      <c r="H148" s="150"/>
      <c r="I148" s="151"/>
      <c r="J148" s="26"/>
      <c r="K148" s="26"/>
      <c r="L148" s="133"/>
      <c r="M148" s="56"/>
      <c r="N148" s="16"/>
      <c r="O148" s="18"/>
      <c r="P148" s="18"/>
      <c r="Q148" s="244"/>
      <c r="R148" s="28"/>
      <c r="S148" s="152"/>
      <c r="T148" s="55"/>
      <c r="U148" s="56"/>
      <c r="V148" s="56"/>
      <c r="W148" s="213"/>
      <c r="X148" s="197"/>
      <c r="Y148" s="197"/>
      <c r="Z148" s="197"/>
      <c r="AA148" s="290"/>
      <c r="AB148" s="26"/>
      <c r="AC148" s="26"/>
      <c r="AD148" s="26"/>
      <c r="AE148" s="26"/>
      <c r="AF148" s="84"/>
      <c r="AG148" s="151"/>
      <c r="AH148" s="26"/>
      <c r="AI148" s="26"/>
      <c r="AJ148" s="133"/>
      <c r="AK148" s="27"/>
      <c r="AL148" s="18"/>
      <c r="AM148" s="55"/>
      <c r="AN148" s="56"/>
      <c r="AO148" s="56"/>
      <c r="AP148" s="149"/>
      <c r="AQ148" s="153"/>
      <c r="AR148" s="26"/>
      <c r="AS148" s="26"/>
      <c r="AT148" s="21"/>
      <c r="AU148" s="25"/>
      <c r="AV148" s="21"/>
      <c r="AW148" s="22"/>
      <c r="AX148" s="56"/>
      <c r="AY148" s="16"/>
      <c r="AZ148" s="18"/>
      <c r="BA148" s="18"/>
      <c r="BB148" s="244"/>
      <c r="BC148" s="28"/>
      <c r="BD148" s="8"/>
      <c r="BH148" s="700" t="s">
        <v>86</v>
      </c>
      <c r="BI148" s="701"/>
      <c r="BJ148" s="701"/>
      <c r="BK148" s="701"/>
      <c r="BL148" s="702"/>
      <c r="BM148" s="700" t="s">
        <v>87</v>
      </c>
      <c r="BN148" s="702"/>
      <c r="BP148" s="8"/>
      <c r="BQ148" s="8"/>
      <c r="BR148" s="8"/>
      <c r="BS148" s="8"/>
      <c r="BT148" s="8"/>
    </row>
    <row r="149" spans="1:81">
      <c r="A149" s="699"/>
      <c r="B149" s="23"/>
      <c r="C149" s="17" t="s">
        <v>17</v>
      </c>
      <c r="D149" s="57"/>
      <c r="E149" s="2"/>
      <c r="F149" s="2"/>
      <c r="G149" s="63"/>
      <c r="H149" s="5"/>
      <c r="I149" s="20"/>
      <c r="J149" s="21"/>
      <c r="K149" s="21"/>
      <c r="L149" s="22"/>
      <c r="M149" s="2"/>
      <c r="N149" s="23"/>
      <c r="O149" s="19"/>
      <c r="P149" s="19"/>
      <c r="Q149" s="195"/>
      <c r="R149" s="24"/>
      <c r="T149" s="57"/>
      <c r="U149" s="2"/>
      <c r="V149" s="2"/>
      <c r="W149" s="199"/>
      <c r="X149" s="198"/>
      <c r="Y149" s="198"/>
      <c r="Z149" s="198"/>
      <c r="AA149" s="272"/>
      <c r="AB149" s="21"/>
      <c r="AC149" s="21"/>
      <c r="AD149" s="21"/>
      <c r="AE149" s="21"/>
      <c r="AF149" s="70"/>
      <c r="AG149" s="20"/>
      <c r="AH149" s="21"/>
      <c r="AI149" s="21"/>
      <c r="AJ149" s="22"/>
      <c r="AK149" s="29"/>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8"/>
    </row>
    <row r="150" spans="1:81">
      <c r="A150" s="699"/>
      <c r="B150" s="23"/>
      <c r="C150" s="17" t="s">
        <v>18</v>
      </c>
      <c r="D150" s="57"/>
      <c r="E150" s="2"/>
      <c r="F150" s="2"/>
      <c r="G150" s="63"/>
      <c r="H150" s="5"/>
      <c r="I150" s="20"/>
      <c r="J150" s="21"/>
      <c r="K150" s="21"/>
      <c r="L150" s="22"/>
      <c r="M150" s="2"/>
      <c r="N150" s="23"/>
      <c r="O150" s="19"/>
      <c r="P150" s="19"/>
      <c r="Q150" s="195"/>
      <c r="R150" s="24"/>
      <c r="T150" s="57"/>
      <c r="U150" s="2"/>
      <c r="V150" s="2"/>
      <c r="W150" s="199"/>
      <c r="X150" s="198"/>
      <c r="Y150" s="198"/>
      <c r="Z150" s="198"/>
      <c r="AA150" s="272"/>
      <c r="AB150" s="21"/>
      <c r="AC150" s="21"/>
      <c r="AD150" s="21"/>
      <c r="AE150" s="21"/>
      <c r="AF150" s="70"/>
      <c r="AG150" s="20"/>
      <c r="AH150" s="21"/>
      <c r="AI150" s="21"/>
      <c r="AJ150" s="22"/>
      <c r="AK150" s="29"/>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7"/>
    </row>
    <row r="151" spans="1:81">
      <c r="A151" s="699"/>
      <c r="B151" s="23"/>
      <c r="C151" s="17" t="s">
        <v>182</v>
      </c>
      <c r="D151" s="57"/>
      <c r="E151" s="2"/>
      <c r="F151" s="2"/>
      <c r="G151" s="63"/>
      <c r="H151" s="2"/>
      <c r="I151" s="20"/>
      <c r="J151" s="21"/>
      <c r="K151" s="21"/>
      <c r="L151" s="22"/>
      <c r="M151" s="2"/>
      <c r="N151" s="23"/>
      <c r="O151" s="19"/>
      <c r="P151" s="19"/>
      <c r="Q151" s="195"/>
      <c r="R151" s="24"/>
      <c r="T151" s="57"/>
      <c r="U151" s="2"/>
      <c r="V151" s="2"/>
      <c r="W151" s="199"/>
      <c r="X151" s="198"/>
      <c r="Y151" s="198"/>
      <c r="Z151" s="198"/>
      <c r="AA151" s="274"/>
      <c r="AB151" s="21"/>
      <c r="AC151" s="21"/>
      <c r="AD151" s="21"/>
      <c r="AE151" s="21"/>
      <c r="AF151" s="70"/>
      <c r="AG151" s="20"/>
      <c r="AH151" s="21"/>
      <c r="AI151" s="21"/>
      <c r="AJ151" s="22"/>
      <c r="AK151" s="29"/>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78.350700418801154</v>
      </c>
      <c r="BI151" s="52">
        <f>O191/1000</f>
        <v>64.322644696804403</v>
      </c>
      <c r="BJ151" s="52">
        <f>P191/1000</f>
        <v>16.209008944539587</v>
      </c>
      <c r="BK151" s="53">
        <f>Q191/1000</f>
        <v>158.88235406014516</v>
      </c>
      <c r="BL151" s="54">
        <f>R191/1000</f>
        <v>0.46939225286816827</v>
      </c>
      <c r="BM151" s="51">
        <f>Q192/1000</f>
        <v>158.88235406014516</v>
      </c>
      <c r="BN151" s="54">
        <f>R192/1000</f>
        <v>0.46939225286816827</v>
      </c>
      <c r="BP151" s="30"/>
      <c r="BQ151" s="30"/>
      <c r="BR151" s="30"/>
      <c r="BS151" s="31"/>
      <c r="BT151" s="31"/>
      <c r="BU151" s="32"/>
    </row>
    <row r="152" spans="1:81">
      <c r="A152" s="699"/>
      <c r="B152" s="23"/>
      <c r="C152" s="17" t="s">
        <v>183</v>
      </c>
      <c r="D152" s="57"/>
      <c r="E152" s="2"/>
      <c r="F152" s="2"/>
      <c r="G152" s="63"/>
      <c r="H152" s="2"/>
      <c r="I152" s="20"/>
      <c r="J152" s="21"/>
      <c r="K152" s="21"/>
      <c r="L152" s="22"/>
      <c r="M152" s="2"/>
      <c r="N152" s="23"/>
      <c r="O152" s="19"/>
      <c r="P152" s="19"/>
      <c r="Q152" s="195"/>
      <c r="R152" s="33"/>
      <c r="T152" s="57"/>
      <c r="U152" s="2"/>
      <c r="V152" s="2"/>
      <c r="W152" s="199"/>
      <c r="X152" s="198"/>
      <c r="Y152" s="198"/>
      <c r="Z152" s="198"/>
      <c r="AA152" s="274"/>
      <c r="AB152" s="21"/>
      <c r="AC152" s="21"/>
      <c r="AD152" s="21"/>
      <c r="AE152" s="21"/>
      <c r="AF152" s="70"/>
      <c r="AG152" s="20"/>
      <c r="AH152" s="21"/>
      <c r="AI152" s="21"/>
      <c r="AJ152" s="22"/>
      <c r="AK152" s="29"/>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0</v>
      </c>
      <c r="BI152" s="52">
        <f>AH191/1000</f>
        <v>0</v>
      </c>
      <c r="BJ152" s="52">
        <f>AI191/1000</f>
        <v>0</v>
      </c>
      <c r="BK152" s="53">
        <f>AJ191/1000</f>
        <v>538.93405137825152</v>
      </c>
      <c r="BL152" s="54">
        <f>AK191/1000</f>
        <v>1.592193607781289</v>
      </c>
      <c r="BM152" s="51">
        <f>AJ192/1000</f>
        <v>538.93405137825152</v>
      </c>
      <c r="BN152" s="54">
        <f>AK192/1000</f>
        <v>1.592193607781289</v>
      </c>
      <c r="BU152" s="32"/>
    </row>
    <row r="153" spans="1:81" s="106" customFormat="1">
      <c r="A153" s="699"/>
      <c r="B153" s="107" t="s">
        <v>67</v>
      </c>
      <c r="C153" s="108"/>
      <c r="D153" s="109"/>
      <c r="E153" s="110"/>
      <c r="F153" s="110"/>
      <c r="G153" s="111"/>
      <c r="H153" s="110"/>
      <c r="I153" s="112">
        <f>D191*[2]ACT!$J$781</f>
        <v>2164.7955204479549</v>
      </c>
      <c r="J153" s="113">
        <f>E191*[2]ACT!$J$672</f>
        <v>1549.8974125288946</v>
      </c>
      <c r="K153" s="113">
        <f>F191*[2]ACT!$J$687</f>
        <v>6939.3710441562307</v>
      </c>
      <c r="L153" s="114">
        <f>SUM(I153:K153)</f>
        <v>10654.063977133081</v>
      </c>
      <c r="M153" s="110"/>
      <c r="N153" s="112">
        <f>I153-AU153</f>
        <v>2164.7955204479549</v>
      </c>
      <c r="O153" s="113">
        <f>J153-AV153</f>
        <v>1549.8974125288946</v>
      </c>
      <c r="P153" s="113">
        <f>K153-AW153</f>
        <v>6939.3710441562307</v>
      </c>
      <c r="Q153" s="114">
        <f>SUM(N153:P153)</f>
        <v>10654.063977133081</v>
      </c>
      <c r="R153" s="115">
        <f>Q153/[2]Popn!$B$40*1000</f>
        <v>31.475711207897778</v>
      </c>
      <c r="T153" s="109"/>
      <c r="U153" s="110"/>
      <c r="V153" s="110"/>
      <c r="W153" s="203">
        <f>SUMIF([2]ACT!$U$62:$U$98,B148,[2]ACT!$P$62:$P$98)</f>
        <v>162975.63063486348</v>
      </c>
      <c r="X153" s="130"/>
      <c r="Y153" s="130"/>
      <c r="Z153" s="130"/>
      <c r="AA153" s="276"/>
      <c r="AB153" s="113"/>
      <c r="AC153" s="113"/>
      <c r="AD153" s="113"/>
      <c r="AE153" s="113"/>
      <c r="AF153" s="117"/>
      <c r="AG153" s="112"/>
      <c r="AH153" s="113"/>
      <c r="AI153" s="113"/>
      <c r="AJ153" s="114">
        <f>W153</f>
        <v>162975.63063486348</v>
      </c>
      <c r="AK153" s="118">
        <f>AJ153/[2]Popn!$B$40*1000</f>
        <v>481.4851773743863</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20.660210490107943</v>
      </c>
      <c r="BI153" s="52">
        <f>AZ191/1000</f>
        <v>14.534440452370811</v>
      </c>
      <c r="BJ153" s="52">
        <f>BA191/1000</f>
        <v>2.3064947050954467</v>
      </c>
      <c r="BK153" s="53">
        <f>BB191/1000</f>
        <v>37.501145647574205</v>
      </c>
      <c r="BL153" s="54">
        <f>BC191/1000</f>
        <v>0.1107910777428978</v>
      </c>
      <c r="BM153" s="51">
        <f>BB192/1000</f>
        <v>37.501145647574205</v>
      </c>
      <c r="BN153" s="54">
        <f>BC192/1000</f>
        <v>0.1107910777428978</v>
      </c>
      <c r="BO153" s="6"/>
      <c r="BU153" s="6"/>
      <c r="BV153" s="6"/>
      <c r="BW153" s="6"/>
      <c r="BX153" s="6"/>
      <c r="BY153" s="6"/>
      <c r="BZ153" s="6"/>
      <c r="CA153" s="6"/>
      <c r="CB153" s="6"/>
      <c r="CC153" s="6"/>
    </row>
    <row r="154" spans="1:81">
      <c r="A154" s="699"/>
      <c r="B154" s="23" t="s">
        <v>4</v>
      </c>
      <c r="C154" s="17" t="s">
        <v>19</v>
      </c>
      <c r="D154" s="57"/>
      <c r="E154" s="2"/>
      <c r="F154" s="2"/>
      <c r="G154" s="63"/>
      <c r="H154" s="2"/>
      <c r="I154" s="112"/>
      <c r="J154" s="113"/>
      <c r="K154" s="113"/>
      <c r="L154" s="22"/>
      <c r="M154" s="2"/>
      <c r="N154" s="23"/>
      <c r="O154" s="19"/>
      <c r="P154" s="19"/>
      <c r="Q154" s="19"/>
      <c r="R154" s="33"/>
      <c r="T154" s="57"/>
      <c r="U154" s="2"/>
      <c r="V154" s="2"/>
      <c r="W154" s="199">
        <f>SUMIF([2]ACT!$T$62:$T$98,C154,[2]ACT!$P$62:$P$98)</f>
        <v>30227.899255467386</v>
      </c>
      <c r="X154" s="198"/>
      <c r="Y154" s="198"/>
      <c r="Z154" s="198"/>
      <c r="AA154" s="274"/>
      <c r="AB154" s="21"/>
      <c r="AC154" s="21"/>
      <c r="AD154" s="21"/>
      <c r="AE154" s="21"/>
      <c r="AF154" s="70"/>
      <c r="AG154" s="20"/>
      <c r="AH154" s="21"/>
      <c r="AI154" s="21"/>
      <c r="AJ154" s="22">
        <f>W154</f>
        <v>30227.899255467386</v>
      </c>
      <c r="AK154" s="29">
        <f>AJ154/[2]Popn!$B$40*1000</f>
        <v>89.303446030417533</v>
      </c>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26">SUM(BH152:BH153)/BH155</f>
        <v>0.20866599751935944</v>
      </c>
      <c r="BI154" s="86">
        <f t="shared" si="26"/>
        <v>0.18431369134270911</v>
      </c>
      <c r="BJ154" s="86">
        <f t="shared" si="26"/>
        <v>0.12457099459678544</v>
      </c>
      <c r="BK154" s="87">
        <f t="shared" si="26"/>
        <v>0.78392688461536641</v>
      </c>
      <c r="BL154" s="87">
        <f t="shared" si="26"/>
        <v>0.78392688461536641</v>
      </c>
      <c r="BM154" s="88">
        <f t="shared" si="26"/>
        <v>0.78392688461536641</v>
      </c>
      <c r="BN154" s="87">
        <f t="shared" si="26"/>
        <v>0.78392688461536641</v>
      </c>
      <c r="BU154" s="106"/>
      <c r="BV154" s="106"/>
      <c r="BW154" s="106"/>
      <c r="BX154" s="106"/>
      <c r="BY154" s="106"/>
      <c r="BZ154" s="106"/>
      <c r="CA154" s="106"/>
      <c r="CB154" s="106"/>
      <c r="CC154" s="106"/>
    </row>
    <row r="155" spans="1:81">
      <c r="A155" s="699"/>
      <c r="B155" s="23"/>
      <c r="C155" s="17" t="s">
        <v>20</v>
      </c>
      <c r="D155" s="57"/>
      <c r="E155" s="2"/>
      <c r="F155" s="2"/>
      <c r="G155" s="63"/>
      <c r="H155" s="2"/>
      <c r="I155" s="20"/>
      <c r="J155" s="21"/>
      <c r="K155" s="21"/>
      <c r="L155" s="22"/>
      <c r="M155" s="2"/>
      <c r="N155" s="23"/>
      <c r="O155" s="19"/>
      <c r="P155" s="19"/>
      <c r="Q155" s="19"/>
      <c r="R155" s="33"/>
      <c r="T155" s="57"/>
      <c r="U155" s="2"/>
      <c r="V155" s="2"/>
      <c r="W155" s="199">
        <f>SUMIF([2]ACT!$T$62:$T$98,C155,[2]ACT!$P$62:$P$98)</f>
        <v>1379.3823673455624</v>
      </c>
      <c r="X155" s="198"/>
      <c r="Y155" s="198"/>
      <c r="Z155" s="198"/>
      <c r="AA155" s="274"/>
      <c r="AB155" s="21"/>
      <c r="AC155" s="21"/>
      <c r="AD155" s="21"/>
      <c r="AE155" s="21"/>
      <c r="AF155" s="70"/>
      <c r="AG155" s="20"/>
      <c r="AH155" s="21"/>
      <c r="AI155" s="21"/>
      <c r="AJ155" s="22">
        <f>W155</f>
        <v>1379.3823673455624</v>
      </c>
      <c r="AK155" s="29">
        <f>AJ155/[2]Popn!$B$40*1000</f>
        <v>4.075162410608919</v>
      </c>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27">SUM(BH151:BH153)</f>
        <v>99.010910908909096</v>
      </c>
      <c r="BI155" s="52">
        <f t="shared" si="27"/>
        <v>78.857085149175219</v>
      </c>
      <c r="BJ155" s="52">
        <f t="shared" si="27"/>
        <v>18.515503649635033</v>
      </c>
      <c r="BK155" s="74">
        <f t="shared" si="27"/>
        <v>735.31755108597088</v>
      </c>
      <c r="BL155" s="76">
        <f t="shared" si="27"/>
        <v>2.1723769383923552</v>
      </c>
      <c r="BM155" s="81">
        <f t="shared" si="27"/>
        <v>735.31755108597088</v>
      </c>
      <c r="BN155" s="76">
        <f t="shared" si="27"/>
        <v>2.1723769383923552</v>
      </c>
    </row>
    <row r="156" spans="1:81">
      <c r="A156" s="699"/>
      <c r="B156" s="23"/>
      <c r="C156" s="17" t="s">
        <v>21</v>
      </c>
      <c r="D156" s="57"/>
      <c r="E156" s="2"/>
      <c r="F156" s="2"/>
      <c r="G156" s="63"/>
      <c r="H156" s="2"/>
      <c r="I156" s="20"/>
      <c r="J156" s="21"/>
      <c r="K156" s="21"/>
      <c r="L156" s="22"/>
      <c r="M156" s="2"/>
      <c r="N156" s="23"/>
      <c r="O156" s="19"/>
      <c r="P156" s="19"/>
      <c r="Q156" s="19"/>
      <c r="R156" s="33"/>
      <c r="T156" s="57"/>
      <c r="U156" s="2"/>
      <c r="V156" s="2"/>
      <c r="W156" s="199"/>
      <c r="X156" s="198"/>
      <c r="Y156" s="198"/>
      <c r="Z156" s="198"/>
      <c r="AA156" s="274"/>
      <c r="AB156" s="21"/>
      <c r="AC156" s="21"/>
      <c r="AD156" s="21"/>
      <c r="AE156" s="21"/>
      <c r="AF156" s="70"/>
      <c r="AG156" s="20"/>
      <c r="AH156" s="21"/>
      <c r="AI156" s="21"/>
      <c r="AJ156" s="22"/>
      <c r="AK156" s="29"/>
      <c r="AL156" s="19"/>
      <c r="AM156" s="57"/>
      <c r="AN156" s="2"/>
      <c r="AO156" s="2"/>
      <c r="AP156" s="63"/>
      <c r="AQ156" s="68"/>
      <c r="AR156" s="21"/>
      <c r="AS156" s="21"/>
      <c r="AT156" s="21"/>
      <c r="AU156" s="25"/>
      <c r="AV156" s="21"/>
      <c r="AW156" s="22"/>
      <c r="AX156" s="2"/>
      <c r="AY156" s="23"/>
      <c r="AZ156" s="19"/>
      <c r="BA156" s="19"/>
      <c r="BB156" s="19"/>
      <c r="BC156" s="24"/>
      <c r="BD156" s="30"/>
    </row>
    <row r="157" spans="1:81" s="106" customFormat="1">
      <c r="A157" s="699"/>
      <c r="B157" s="107" t="s">
        <v>67</v>
      </c>
      <c r="C157" s="108"/>
      <c r="D157" s="109"/>
      <c r="E157" s="110"/>
      <c r="F157" s="110"/>
      <c r="G157" s="111"/>
      <c r="H157" s="110"/>
      <c r="I157" s="112">
        <f>D191*[2]ACT!$J$782</f>
        <v>2734.4785521447857</v>
      </c>
      <c r="J157" s="113">
        <f>E191*[2]ACT!$J$673</f>
        <v>2663.8861777840375</v>
      </c>
      <c r="K157" s="113">
        <f>F191*[2]ACT!$J$688</f>
        <v>1072.4482522786902</v>
      </c>
      <c r="L157" s="114">
        <f>SUM(I157:K157)</f>
        <v>6470.8129822075134</v>
      </c>
      <c r="M157" s="110"/>
      <c r="N157" s="112">
        <f>I157-AU157</f>
        <v>2734.4785521447857</v>
      </c>
      <c r="O157" s="113">
        <f>J157-AV157</f>
        <v>2663.8861777840375</v>
      </c>
      <c r="P157" s="113">
        <f>K157-AW157</f>
        <v>1072.4482522786902</v>
      </c>
      <c r="Q157" s="114">
        <f>SUM(N157:P157)</f>
        <v>6470.8129822075134</v>
      </c>
      <c r="R157" s="115">
        <f>Q157/[2]Popn!$B$40*1000</f>
        <v>19.116971809576675</v>
      </c>
      <c r="T157" s="109"/>
      <c r="U157" s="110"/>
      <c r="V157" s="110"/>
      <c r="W157" s="203">
        <f>SUM(W154:W156)</f>
        <v>31607.281622812949</v>
      </c>
      <c r="X157" s="130"/>
      <c r="Y157" s="130"/>
      <c r="Z157" s="130"/>
      <c r="AA157" s="276"/>
      <c r="AB157" s="113"/>
      <c r="AC157" s="113"/>
      <c r="AD157" s="113"/>
      <c r="AE157" s="113"/>
      <c r="AF157" s="117"/>
      <c r="AG157" s="112"/>
      <c r="AH157" s="113"/>
      <c r="AI157" s="113"/>
      <c r="AJ157" s="114">
        <f>W157</f>
        <v>31607.281622812949</v>
      </c>
      <c r="AK157" s="118">
        <f>AJ157/[2]Popn!$B$40*1000</f>
        <v>93.378608441026458</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U157" s="6"/>
      <c r="BV157" s="6"/>
      <c r="BW157" s="6"/>
      <c r="BX157" s="6"/>
      <c r="BY157" s="6"/>
      <c r="BZ157" s="6"/>
      <c r="CA157" s="6"/>
      <c r="CB157" s="6"/>
      <c r="CC157" s="6"/>
    </row>
    <row r="158" spans="1:81">
      <c r="A158" s="699"/>
      <c r="B158" s="23" t="s">
        <v>2</v>
      </c>
      <c r="C158" s="17" t="s">
        <v>22</v>
      </c>
      <c r="D158" s="57"/>
      <c r="E158" s="2"/>
      <c r="F158" s="2"/>
      <c r="G158" s="63"/>
      <c r="H158" s="2"/>
      <c r="I158" s="112"/>
      <c r="J158" s="113"/>
      <c r="K158" s="113"/>
      <c r="L158" s="22"/>
      <c r="M158" s="2"/>
      <c r="N158" s="20"/>
      <c r="O158" s="21"/>
      <c r="P158" s="21"/>
      <c r="Q158" s="21"/>
      <c r="R158" s="34"/>
      <c r="T158" s="57"/>
      <c r="U158" s="2"/>
      <c r="V158" s="2"/>
      <c r="W158" s="199"/>
      <c r="X158" s="198"/>
      <c r="Y158" s="198"/>
      <c r="Z158" s="198"/>
      <c r="AA158" s="274"/>
      <c r="AB158" s="21"/>
      <c r="AC158" s="21"/>
      <c r="AD158" s="21"/>
      <c r="AE158" s="21"/>
      <c r="AF158" s="70"/>
      <c r="AG158" s="20"/>
      <c r="AH158" s="21"/>
      <c r="AI158" s="21"/>
      <c r="AJ158" s="22"/>
      <c r="AK158" s="29"/>
      <c r="AL158" s="19"/>
      <c r="AM158" s="57"/>
      <c r="AN158" s="2"/>
      <c r="AO158" s="2"/>
      <c r="AP158" s="63"/>
      <c r="AQ158" s="70"/>
      <c r="AR158" s="21">
        <f>L163*'[2]Lfill en &amp; composn'!$B$82/SUM('[2]Lfill en &amp; composn'!$B$82,'[2]Lfill en &amp; composn'!$B$84:$B$85,'[2]Lfill en &amp; composn'!$B$87:$B$88)*'[2]Lfill en &amp; composn'!$D$16</f>
        <v>6505.0346394505987</v>
      </c>
      <c r="AS158" s="35">
        <f>AR158/SUM($AR$148:$AR$190)</f>
        <v>0.31727310434897527</v>
      </c>
      <c r="AT158" s="21">
        <f>AS158*'[2]Lfill en &amp; composn'!$B$60/'[2]Lfill en &amp; composn'!$B$16</f>
        <v>18829.285166116508</v>
      </c>
      <c r="AU158" s="25"/>
      <c r="AV158" s="21"/>
      <c r="AW158" s="22"/>
      <c r="AX158" s="82"/>
      <c r="AY158" s="20"/>
      <c r="AZ158" s="21"/>
      <c r="BA158" s="21"/>
      <c r="BB158" s="21"/>
      <c r="BC158" s="29"/>
      <c r="BD158" s="30"/>
      <c r="BU158" s="106"/>
      <c r="BV158" s="106"/>
      <c r="BW158" s="106"/>
      <c r="BX158" s="106"/>
      <c r="BY158" s="106"/>
      <c r="BZ158" s="106"/>
      <c r="CA158" s="106"/>
      <c r="CB158" s="106"/>
      <c r="CC158" s="106"/>
    </row>
    <row r="159" spans="1:81">
      <c r="A159" s="699"/>
      <c r="B159" s="23"/>
      <c r="C159" s="17" t="s">
        <v>23</v>
      </c>
      <c r="D159" s="57"/>
      <c r="E159" s="2"/>
      <c r="F159" s="2"/>
      <c r="G159" s="63"/>
      <c r="H159" s="2"/>
      <c r="I159" s="20"/>
      <c r="J159" s="21"/>
      <c r="K159" s="21"/>
      <c r="L159" s="22"/>
      <c r="M159" s="2"/>
      <c r="N159" s="20"/>
      <c r="O159" s="21"/>
      <c r="P159" s="21"/>
      <c r="Q159" s="21"/>
      <c r="R159" s="34"/>
      <c r="T159" s="57"/>
      <c r="U159" s="2"/>
      <c r="V159" s="2"/>
      <c r="W159" s="199">
        <f>SUMIF([2]ACT!$T$62:$T$98,C159,[2]ACT!$P$62:$P$98)</f>
        <v>199079.27105976024</v>
      </c>
      <c r="X159" s="198"/>
      <c r="Y159" s="198"/>
      <c r="Z159" s="198"/>
      <c r="AA159" s="274"/>
      <c r="AB159" s="21"/>
      <c r="AC159" s="21"/>
      <c r="AD159" s="21"/>
      <c r="AE159" s="21"/>
      <c r="AF159" s="70"/>
      <c r="AG159" s="20"/>
      <c r="AH159" s="21"/>
      <c r="AI159" s="21"/>
      <c r="AJ159" s="22">
        <f>W159</f>
        <v>199079.27105976024</v>
      </c>
      <c r="AK159" s="29">
        <f>AJ159/[2]Popn!$B$40*1000</f>
        <v>588.14755165774648</v>
      </c>
      <c r="AL159" s="19"/>
      <c r="AM159" s="57"/>
      <c r="AN159" s="2"/>
      <c r="AO159" s="2"/>
      <c r="AP159" s="63"/>
      <c r="AQ159" s="68"/>
      <c r="AR159" s="21">
        <f>L163*'[2]Lfill en &amp; composn'!$B$84/SUM('[2]Lfill en &amp; composn'!$B$82,'[2]Lfill en &amp; composn'!$B$84:$B$85,'[2]Lfill en &amp; composn'!$B$87:$B$88)*'[2]Lfill en &amp; composn'!$D$18</f>
        <v>1828.9299554340469</v>
      </c>
      <c r="AS159" s="35">
        <f t="shared" ref="AS159:AS162" si="28">AR159/SUM($AR$148:$AR$190)</f>
        <v>8.9203258208383873E-2</v>
      </c>
      <c r="AT159" s="21">
        <f>AS159*'[2]Lfill en &amp; composn'!$B$60/'[2]Lfill en &amp; composn'!$B$18</f>
        <v>3970.4758223964973</v>
      </c>
      <c r="AU159" s="25"/>
      <c r="AV159" s="21"/>
      <c r="AW159" s="22"/>
      <c r="AX159" s="2"/>
      <c r="AY159" s="20"/>
      <c r="AZ159" s="21"/>
      <c r="BA159" s="21"/>
      <c r="BB159" s="21"/>
      <c r="BC159" s="29"/>
      <c r="BD159" s="36"/>
    </row>
    <row r="160" spans="1:81">
      <c r="A160" s="699"/>
      <c r="B160" s="23"/>
      <c r="C160" s="17" t="s">
        <v>24</v>
      </c>
      <c r="D160" s="57"/>
      <c r="E160" s="2"/>
      <c r="F160" s="2"/>
      <c r="G160" s="63"/>
      <c r="H160" s="2"/>
      <c r="I160" s="20"/>
      <c r="J160" s="21"/>
      <c r="K160" s="21"/>
      <c r="L160" s="22"/>
      <c r="M160" s="2"/>
      <c r="N160" s="20"/>
      <c r="O160" s="21"/>
      <c r="P160" s="21"/>
      <c r="Q160" s="21"/>
      <c r="R160" s="34"/>
      <c r="T160" s="57"/>
      <c r="U160" s="2"/>
      <c r="V160" s="2"/>
      <c r="W160" s="199">
        <f>SUMIF([2]ACT!$T$62:$T$98,C160,[2]ACT!$P$62:$P$98)</f>
        <v>31106.498101851579</v>
      </c>
      <c r="X160" s="198"/>
      <c r="Y160" s="198"/>
      <c r="Z160" s="198"/>
      <c r="AA160" s="274"/>
      <c r="AB160" s="21"/>
      <c r="AC160" s="21"/>
      <c r="AD160" s="21"/>
      <c r="AE160" s="21"/>
      <c r="AF160" s="70"/>
      <c r="AG160" s="20"/>
      <c r="AH160" s="21"/>
      <c r="AI160" s="21"/>
      <c r="AJ160" s="22">
        <f>W160</f>
        <v>31106.498101851579</v>
      </c>
      <c r="AK160" s="29">
        <f>AJ160/[2]Popn!$B$40*1000</f>
        <v>91.899124413402291</v>
      </c>
      <c r="AL160" s="19"/>
      <c r="AM160" s="57"/>
      <c r="AN160" s="2"/>
      <c r="AO160" s="2"/>
      <c r="AP160" s="63"/>
      <c r="AQ160" s="70"/>
      <c r="AR160" s="21">
        <f>L163*'[2]Lfill en &amp; composn'!$B$85/SUM('[2]Lfill en &amp; composn'!$B$82,'[2]Lfill en &amp; composn'!$B$84:$B$85,'[2]Lfill en &amp; composn'!$B$87:$B$88)*'[2]Lfill en &amp; composn'!$D$19</f>
        <v>1395.226675644067</v>
      </c>
      <c r="AS160" s="35">
        <f t="shared" si="28"/>
        <v>6.8050044801833784E-2</v>
      </c>
      <c r="AT160" s="21">
        <f>AS160*'[2]Lfill en &amp; composn'!$B$60/'[2]Lfill en &amp; composn'!$B$19</f>
        <v>1408.8079502056994</v>
      </c>
      <c r="AU160" s="25"/>
      <c r="AV160" s="21"/>
      <c r="AW160" s="22"/>
      <c r="AX160" s="2"/>
      <c r="AY160" s="20"/>
      <c r="AZ160" s="21"/>
      <c r="BA160" s="21"/>
      <c r="BB160" s="21"/>
      <c r="BC160" s="29"/>
    </row>
    <row r="161" spans="1:81">
      <c r="A161" s="699"/>
      <c r="B161" s="23"/>
      <c r="C161" s="17" t="s">
        <v>25</v>
      </c>
      <c r="D161" s="57"/>
      <c r="E161" s="2"/>
      <c r="F161" s="2"/>
      <c r="G161" s="63"/>
      <c r="H161" s="2"/>
      <c r="I161" s="20"/>
      <c r="J161" s="21"/>
      <c r="K161" s="21"/>
      <c r="L161" s="22"/>
      <c r="M161" s="2"/>
      <c r="N161" s="20"/>
      <c r="O161" s="21"/>
      <c r="P161" s="21"/>
      <c r="Q161" s="21"/>
      <c r="R161" s="34"/>
      <c r="T161" s="57"/>
      <c r="U161" s="2"/>
      <c r="V161" s="2"/>
      <c r="W161" s="199"/>
      <c r="X161" s="198"/>
      <c r="Y161" s="198"/>
      <c r="Z161" s="198"/>
      <c r="AA161" s="274"/>
      <c r="AB161" s="21"/>
      <c r="AC161" s="21"/>
      <c r="AD161" s="21"/>
      <c r="AE161" s="21"/>
      <c r="AF161" s="70"/>
      <c r="AG161" s="20"/>
      <c r="AH161" s="21"/>
      <c r="AI161" s="21"/>
      <c r="AJ161" s="22"/>
      <c r="AK161" s="29"/>
      <c r="AL161" s="19"/>
      <c r="AM161" s="57"/>
      <c r="AN161" s="2"/>
      <c r="AO161" s="2"/>
      <c r="AP161" s="63"/>
      <c r="AQ161" s="68"/>
      <c r="AR161" s="21">
        <f>L163*'[2]Lfill en &amp; composn'!$B$93/SUM('[2]Lfill en &amp; composn'!$B$82,'[2]Lfill en &amp; composn'!$B$84:$B$85,'[2]Lfill en &amp; composn'!$B$87:$B$88)*'[2]Lfill en &amp; composn'!$D$24</f>
        <v>442.51936322793193</v>
      </c>
      <c r="AS161" s="35">
        <f t="shared" si="28"/>
        <v>2.1583204377481312E-2</v>
      </c>
      <c r="AT161" s="21">
        <f>AS161*'[2]Lfill en &amp; composn'!$B$60/'[2]Lfill en &amp; composn'!$B$24</f>
        <v>800.56484549815093</v>
      </c>
      <c r="AU161" s="25"/>
      <c r="AV161" s="21"/>
      <c r="AW161" s="22"/>
      <c r="AX161" s="83"/>
      <c r="AY161" s="20"/>
      <c r="AZ161" s="21"/>
      <c r="BA161" s="21"/>
      <c r="BB161" s="21"/>
      <c r="BC161" s="29"/>
    </row>
    <row r="162" spans="1:81">
      <c r="A162" s="699"/>
      <c r="B162" s="23"/>
      <c r="C162" s="17" t="s">
        <v>0</v>
      </c>
      <c r="D162" s="57"/>
      <c r="E162" s="2"/>
      <c r="F162" s="2"/>
      <c r="G162" s="63"/>
      <c r="H162" s="198">
        <f>[2]Biosolids!$B$201</f>
        <v>3351.4837153196622</v>
      </c>
      <c r="I162" s="112"/>
      <c r="J162" s="113"/>
      <c r="K162" s="113"/>
      <c r="L162" s="22"/>
      <c r="M162" s="2" t="s">
        <v>193</v>
      </c>
      <c r="N162" s="23"/>
      <c r="O162" s="19"/>
      <c r="P162" s="19"/>
      <c r="Q162" s="19"/>
      <c r="R162" s="34"/>
      <c r="T162" s="57"/>
      <c r="U162" s="2"/>
      <c r="V162" s="2"/>
      <c r="W162" s="199"/>
      <c r="X162" s="198"/>
      <c r="Y162" s="198"/>
      <c r="Z162" s="198"/>
      <c r="AA162" s="278">
        <f>[2]Biosolids!$B$200</f>
        <v>41256.447527141136</v>
      </c>
      <c r="AB162" s="21"/>
      <c r="AC162" s="21"/>
      <c r="AD162" s="21"/>
      <c r="AE162" s="21"/>
      <c r="AF162" s="355" t="s">
        <v>111</v>
      </c>
      <c r="AG162" s="20"/>
      <c r="AH162" s="21"/>
      <c r="AI162" s="21"/>
      <c r="AJ162" s="22">
        <f>AA162</f>
        <v>41256.447527141136</v>
      </c>
      <c r="AK162" s="29">
        <f>AJ162/[2]Popn!$B$40*1000</f>
        <v>121.88551060095273</v>
      </c>
      <c r="AL162" s="19"/>
      <c r="AM162" s="57"/>
      <c r="AN162" s="2"/>
      <c r="AO162" s="2"/>
      <c r="AP162" s="63"/>
      <c r="AQ162" s="68"/>
      <c r="AR162" s="21">
        <f>L163*'[2]Lfill en &amp; composn'!$B$87/SUM('[2]Lfill en &amp; composn'!$B$82,'[2]Lfill en &amp; composn'!$B$84:$B$85,'[2]Lfill en &amp; composn'!$B$87:$B$88)*'[2]Lfill en &amp; composn'!$D$21</f>
        <v>33.767829316084914</v>
      </c>
      <c r="AS162" s="35">
        <f t="shared" si="28"/>
        <v>1.6469741712467566E-3</v>
      </c>
      <c r="AT162" s="21">
        <f>AS162*'[2]Lfill en &amp; composn'!$B$60/'[2]Lfill en &amp; composn'!$B$21</f>
        <v>293.23014689757838</v>
      </c>
      <c r="AU162" s="25"/>
      <c r="AV162" s="21"/>
      <c r="AW162" s="22"/>
      <c r="AX162" s="2"/>
      <c r="AY162" s="23"/>
      <c r="AZ162" s="19"/>
      <c r="BA162" s="19"/>
      <c r="BB162" s="21"/>
      <c r="BC162" s="24"/>
    </row>
    <row r="163" spans="1:81" s="106" customFormat="1">
      <c r="A163" s="699"/>
      <c r="B163" s="107" t="s">
        <v>67</v>
      </c>
      <c r="C163" s="108"/>
      <c r="D163" s="109"/>
      <c r="E163" s="110"/>
      <c r="F163" s="110"/>
      <c r="G163" s="111"/>
      <c r="H163" s="110"/>
      <c r="I163" s="112">
        <f>D191*[2]ACT!$J$783</f>
        <v>58449.479052094786</v>
      </c>
      <c r="J163" s="113">
        <f>E191*[2]ACT!$J$674</f>
        <v>26638.861777840379</v>
      </c>
      <c r="K163" s="113">
        <f>F191*[2]ACT!$J$689</f>
        <v>5141.4430918066628</v>
      </c>
      <c r="L163" s="114">
        <f>SUM(I163:K163)</f>
        <v>90229.783921741822</v>
      </c>
      <c r="M163" s="110"/>
      <c r="N163" s="112">
        <f>I163-AU163</f>
        <v>42058.993269231316</v>
      </c>
      <c r="O163" s="113">
        <f>J163-AV163</f>
        <v>19168.754390703463</v>
      </c>
      <c r="P163" s="113">
        <f>K163-AW163</f>
        <v>3699.6723306926087</v>
      </c>
      <c r="Q163" s="114">
        <f>SUM(N163:P163)</f>
        <v>64927.419990627386</v>
      </c>
      <c r="R163" s="115">
        <f>Q163/[2]Popn!$B$40*1000</f>
        <v>191.81757547966237</v>
      </c>
      <c r="T163" s="109"/>
      <c r="U163" s="110"/>
      <c r="V163" s="110"/>
      <c r="W163" s="203">
        <f>SUMIF([2]ACT!$U$62:$U$98,B158,[2]ACT!$P$62:$P$98)</f>
        <v>230185.76916161182</v>
      </c>
      <c r="X163" s="130"/>
      <c r="Y163" s="130"/>
      <c r="Z163" s="130"/>
      <c r="AA163" s="276"/>
      <c r="AB163" s="113"/>
      <c r="AC163" s="113"/>
      <c r="AD163" s="113"/>
      <c r="AE163" s="113"/>
      <c r="AF163" s="117"/>
      <c r="AG163" s="112"/>
      <c r="AH163" s="113"/>
      <c r="AI163" s="113"/>
      <c r="AJ163" s="114">
        <f>SUM(AJ159:AJ162)</f>
        <v>271442.21668875299</v>
      </c>
      <c r="AK163" s="118">
        <f>AJ163/[2]Popn!$B$40*1000</f>
        <v>801.93218667210169</v>
      </c>
      <c r="AL163" s="119"/>
      <c r="AM163" s="109"/>
      <c r="AN163" s="110"/>
      <c r="AO163" s="110"/>
      <c r="AP163" s="111"/>
      <c r="AQ163" s="116"/>
      <c r="AR163" s="113"/>
      <c r="AS163" s="113"/>
      <c r="AT163" s="113">
        <f>SUM(AT158:AT162)</f>
        <v>25302.363931114432</v>
      </c>
      <c r="AU163" s="120">
        <f>$AT163*I163/SUM($I163:$K163)</f>
        <v>16390.485782863467</v>
      </c>
      <c r="AV163" s="113">
        <f>$AT163*J163/SUM($I163:$K163)</f>
        <v>7470.1073871369153</v>
      </c>
      <c r="AW163" s="114">
        <f>$AT163*K163/SUM($I163:$K163)</f>
        <v>1441.7707611140543</v>
      </c>
      <c r="AX163" s="110"/>
      <c r="AY163" s="241">
        <f>AU163</f>
        <v>16390.485782863467</v>
      </c>
      <c r="AZ163" s="242">
        <f>AV163</f>
        <v>7470.1073871369153</v>
      </c>
      <c r="BA163" s="242">
        <f>AW163</f>
        <v>1441.7707611140543</v>
      </c>
      <c r="BB163" s="243">
        <f>AT163+AP163</f>
        <v>25302.363931114432</v>
      </c>
      <c r="BC163" s="118">
        <f>BB163/[2]Popn!$B$40*1000</f>
        <v>74.75174747234756</v>
      </c>
      <c r="BD163" s="122"/>
      <c r="BG163" s="146"/>
      <c r="BH163" s="138" t="s">
        <v>72</v>
      </c>
      <c r="BI163" s="138" t="s">
        <v>68</v>
      </c>
      <c r="BJ163" s="138" t="s">
        <v>69</v>
      </c>
      <c r="BK163" s="138" t="s">
        <v>73</v>
      </c>
      <c r="BL163" s="138" t="s">
        <v>78</v>
      </c>
      <c r="BM163" s="6"/>
      <c r="BN163" s="6"/>
      <c r="BO163" s="6"/>
      <c r="BU163" s="6"/>
      <c r="BV163" s="6"/>
      <c r="BW163" s="6"/>
      <c r="BX163" s="6"/>
      <c r="BY163" s="6"/>
      <c r="BZ163" s="6"/>
      <c r="CA163" s="6"/>
      <c r="CB163" s="6"/>
      <c r="CC163" s="6"/>
    </row>
    <row r="164" spans="1:81">
      <c r="A164" s="699"/>
      <c r="B164" s="23" t="s">
        <v>5</v>
      </c>
      <c r="C164" s="17" t="s">
        <v>26</v>
      </c>
      <c r="D164" s="57"/>
      <c r="E164" s="2"/>
      <c r="F164" s="2"/>
      <c r="G164" s="63"/>
      <c r="H164" s="2"/>
      <c r="I164" s="112"/>
      <c r="J164" s="113"/>
      <c r="K164" s="113"/>
      <c r="L164" s="22"/>
      <c r="M164" s="2"/>
      <c r="N164" s="23"/>
      <c r="O164" s="19"/>
      <c r="P164" s="19"/>
      <c r="Q164" s="19"/>
      <c r="R164" s="33"/>
      <c r="T164" s="57"/>
      <c r="U164" s="2"/>
      <c r="V164" s="2"/>
      <c r="W164" s="199"/>
      <c r="X164" s="198"/>
      <c r="Y164" s="198"/>
      <c r="Z164" s="198"/>
      <c r="AA164" s="274"/>
      <c r="AB164" s="21"/>
      <c r="AC164" s="21"/>
      <c r="AD164" s="21"/>
      <c r="AE164" s="21"/>
      <c r="AF164" s="70"/>
      <c r="AG164" s="20"/>
      <c r="AH164" s="21"/>
      <c r="AI164" s="21"/>
      <c r="AJ164" s="22"/>
      <c r="AK164" s="29"/>
      <c r="AL164" s="19"/>
      <c r="AM164" s="57"/>
      <c r="AN164" s="2"/>
      <c r="AO164" s="2"/>
      <c r="AP164" s="63"/>
      <c r="AQ164" s="68"/>
      <c r="AR164" s="21"/>
      <c r="AS164" s="21"/>
      <c r="AT164" s="21"/>
      <c r="AU164" s="240"/>
      <c r="AV164" s="19"/>
      <c r="AW164" s="195"/>
      <c r="AX164" s="2"/>
      <c r="AY164" s="238"/>
      <c r="BB164" s="19"/>
      <c r="BC164" s="24"/>
      <c r="BG164" s="147" t="s">
        <v>3</v>
      </c>
      <c r="BH164" s="52">
        <f>Q153/1000</f>
        <v>10.654063977133081</v>
      </c>
      <c r="BI164" s="52">
        <f>AJ153/1000</f>
        <v>162.97563063486348</v>
      </c>
      <c r="BJ164" s="52">
        <f>BB153/1000</f>
        <v>0</v>
      </c>
      <c r="BK164" s="137">
        <f>SUM(BI164:BJ164)/BL164</f>
        <v>0.93863915961528754</v>
      </c>
      <c r="BL164" s="52">
        <f>SUM(BH164:BJ164)</f>
        <v>173.62969461199657</v>
      </c>
      <c r="BU164" s="106"/>
      <c r="BV164" s="106"/>
      <c r="BW164" s="106"/>
      <c r="BX164" s="106"/>
      <c r="BY164" s="106"/>
      <c r="BZ164" s="106"/>
      <c r="CA164" s="106"/>
      <c r="CB164" s="106"/>
      <c r="CC164" s="106"/>
    </row>
    <row r="165" spans="1:81">
      <c r="A165" s="699"/>
      <c r="B165" s="23"/>
      <c r="C165" s="17" t="s">
        <v>27</v>
      </c>
      <c r="D165" s="57"/>
      <c r="E165" s="2"/>
      <c r="F165" s="2"/>
      <c r="G165" s="63"/>
      <c r="H165" s="2"/>
      <c r="I165" s="20"/>
      <c r="J165" s="21"/>
      <c r="K165" s="21"/>
      <c r="L165" s="22"/>
      <c r="M165" s="2"/>
      <c r="N165" s="23"/>
      <c r="O165" s="19"/>
      <c r="P165" s="19"/>
      <c r="Q165" s="19"/>
      <c r="R165" s="33"/>
      <c r="T165" s="57"/>
      <c r="U165" s="2"/>
      <c r="V165" s="2"/>
      <c r="W165" s="199"/>
      <c r="X165" s="198"/>
      <c r="Y165" s="198"/>
      <c r="Z165" s="198"/>
      <c r="AA165" s="274"/>
      <c r="AB165" s="21"/>
      <c r="AC165" s="21"/>
      <c r="AD165" s="21"/>
      <c r="AE165" s="21"/>
      <c r="AF165" s="70"/>
      <c r="AG165" s="20"/>
      <c r="AH165" s="21"/>
      <c r="AI165" s="21"/>
      <c r="AJ165" s="22"/>
      <c r="AK165" s="29"/>
      <c r="AL165" s="19"/>
      <c r="AM165" s="57"/>
      <c r="AN165" s="2"/>
      <c r="AO165" s="2"/>
      <c r="AP165" s="63"/>
      <c r="AQ165" s="68"/>
      <c r="AR165" s="21"/>
      <c r="AS165" s="21"/>
      <c r="AT165" s="21"/>
      <c r="AU165" s="240"/>
      <c r="AV165" s="19"/>
      <c r="AW165" s="195"/>
      <c r="AX165" s="2"/>
      <c r="AY165" s="238"/>
      <c r="BB165" s="19"/>
      <c r="BC165" s="24"/>
      <c r="BG165" s="147" t="s">
        <v>4</v>
      </c>
      <c r="BH165" s="52">
        <f>Q157/1000</f>
        <v>6.4708129822075131</v>
      </c>
      <c r="BI165" s="52">
        <f>AJ157/1000</f>
        <v>31.607281622812948</v>
      </c>
      <c r="BJ165" s="52">
        <f>BB157/1000</f>
        <v>0</v>
      </c>
      <c r="BK165" s="137">
        <f t="shared" ref="BK165:BK170" si="29">SUM(BI165:BJ165)/BL165</f>
        <v>0.83006468550150725</v>
      </c>
      <c r="BL165" s="52">
        <f t="shared" ref="BL165:BL172" si="30">SUM(BH165:BJ165)</f>
        <v>38.078094605020461</v>
      </c>
    </row>
    <row r="166" spans="1:81">
      <c r="A166" s="699"/>
      <c r="B166" s="23"/>
      <c r="C166" s="17" t="s">
        <v>28</v>
      </c>
      <c r="D166" s="57"/>
      <c r="E166" s="2"/>
      <c r="F166" s="2"/>
      <c r="G166" s="63"/>
      <c r="H166" s="2"/>
      <c r="I166" s="20"/>
      <c r="J166" s="21"/>
      <c r="K166" s="21"/>
      <c r="L166" s="22"/>
      <c r="M166" s="2"/>
      <c r="N166" s="23"/>
      <c r="O166" s="19"/>
      <c r="P166" s="19"/>
      <c r="Q166" s="19"/>
      <c r="R166" s="33"/>
      <c r="T166" s="57"/>
      <c r="U166" s="2"/>
      <c r="V166" s="2"/>
      <c r="W166" s="199"/>
      <c r="X166" s="198"/>
      <c r="Y166" s="198"/>
      <c r="Z166" s="198"/>
      <c r="AA166" s="274"/>
      <c r="AB166" s="21"/>
      <c r="AC166" s="21"/>
      <c r="AD166" s="21"/>
      <c r="AE166" s="21"/>
      <c r="AF166" s="70"/>
      <c r="AG166" s="20"/>
      <c r="AH166" s="21"/>
      <c r="AI166" s="21"/>
      <c r="AJ166" s="22"/>
      <c r="AK166" s="29"/>
      <c r="AL166" s="19"/>
      <c r="AM166" s="57"/>
      <c r="AN166" s="2"/>
      <c r="AO166" s="2"/>
      <c r="AP166" s="63"/>
      <c r="AQ166" s="68"/>
      <c r="AR166" s="21"/>
      <c r="AS166" s="21"/>
      <c r="AT166" s="21"/>
      <c r="AU166" s="240"/>
      <c r="AV166" s="19"/>
      <c r="AW166" s="195"/>
      <c r="AX166" s="2"/>
      <c r="AY166" s="238"/>
      <c r="BB166" s="19"/>
      <c r="BC166" s="24"/>
      <c r="BG166" s="147" t="s">
        <v>2</v>
      </c>
      <c r="BH166" s="52">
        <f>Q163/1000</f>
        <v>64.927419990627385</v>
      </c>
      <c r="BI166" s="52">
        <f>AJ163/1000</f>
        <v>271.44221668875298</v>
      </c>
      <c r="BJ166" s="52">
        <f>BB163/1000</f>
        <v>25.302363931114431</v>
      </c>
      <c r="BK166" s="137">
        <f t="shared" si="29"/>
        <v>0.82047982735453318</v>
      </c>
      <c r="BL166" s="52">
        <f t="shared" si="30"/>
        <v>361.67200061049482</v>
      </c>
    </row>
    <row r="167" spans="1:81">
      <c r="A167" s="699"/>
      <c r="B167" s="23"/>
      <c r="C167" s="17" t="s">
        <v>29</v>
      </c>
      <c r="D167" s="57"/>
      <c r="E167" s="2"/>
      <c r="F167" s="2"/>
      <c r="G167" s="63"/>
      <c r="H167" s="2"/>
      <c r="I167" s="20"/>
      <c r="J167" s="21"/>
      <c r="K167" s="21"/>
      <c r="L167" s="22"/>
      <c r="M167" s="2"/>
      <c r="N167" s="23"/>
      <c r="O167" s="19"/>
      <c r="P167" s="19"/>
      <c r="Q167" s="19"/>
      <c r="R167" s="33"/>
      <c r="T167" s="57"/>
      <c r="U167" s="2"/>
      <c r="V167" s="2"/>
      <c r="W167" s="199"/>
      <c r="X167" s="198"/>
      <c r="Y167" s="198"/>
      <c r="Z167" s="198"/>
      <c r="AA167" s="274"/>
      <c r="AB167" s="21"/>
      <c r="AC167" s="21"/>
      <c r="AD167" s="21"/>
      <c r="AE167" s="21"/>
      <c r="AF167" s="70"/>
      <c r="AG167" s="20"/>
      <c r="AH167" s="21"/>
      <c r="AI167" s="21"/>
      <c r="AJ167" s="22"/>
      <c r="AK167" s="29"/>
      <c r="AL167" s="19"/>
      <c r="AM167" s="57"/>
      <c r="AN167" s="2"/>
      <c r="AO167" s="2"/>
      <c r="AP167" s="63"/>
      <c r="AQ167" s="68"/>
      <c r="AR167" s="21"/>
      <c r="AS167" s="21"/>
      <c r="AT167" s="21"/>
      <c r="AU167" s="240"/>
      <c r="AV167" s="19"/>
      <c r="AW167" s="195"/>
      <c r="AX167" s="2"/>
      <c r="AY167" s="238"/>
      <c r="BB167" s="19"/>
      <c r="BC167" s="24"/>
      <c r="BG167" s="147" t="s">
        <v>5</v>
      </c>
      <c r="BH167" s="52">
        <f>Q168/1000</f>
        <v>27.356256333447181</v>
      </c>
      <c r="BI167" s="52">
        <f>AJ168/1000</f>
        <v>44.101919578187292</v>
      </c>
      <c r="BJ167" s="52">
        <f>BB168/1000</f>
        <v>7.3929214397090641</v>
      </c>
      <c r="BK167" s="137">
        <f t="shared" si="29"/>
        <v>0.65306435481102332</v>
      </c>
      <c r="BL167" s="52">
        <f t="shared" si="30"/>
        <v>78.85109735134354</v>
      </c>
    </row>
    <row r="168" spans="1:81" s="106" customFormat="1">
      <c r="A168" s="699"/>
      <c r="B168" s="107" t="s">
        <v>67</v>
      </c>
      <c r="C168" s="108"/>
      <c r="D168" s="109"/>
      <c r="E168" s="110"/>
      <c r="F168" s="110"/>
      <c r="G168" s="111"/>
      <c r="H168" s="110"/>
      <c r="I168" s="112">
        <f>D191*[2]ACT!$J$784</f>
        <v>13558.456154384561</v>
      </c>
      <c r="J168" s="113">
        <f>E191*[2]ACT!$J$675</f>
        <v>20055.18817518248</v>
      </c>
      <c r="K168" s="113">
        <f>F191*[2]ACT!$J$690</f>
        <v>1135.5334435892016</v>
      </c>
      <c r="L168" s="114">
        <f>SUM(I168:K168)</f>
        <v>34749.17777315624</v>
      </c>
      <c r="M168" s="110"/>
      <c r="N168" s="112">
        <f>I168-AU168</f>
        <v>10673.881392718178</v>
      </c>
      <c r="O168" s="113">
        <f>J168-AV168</f>
        <v>15788.427344017084</v>
      </c>
      <c r="P168" s="113">
        <f>K168-AW168</f>
        <v>893.94759671191684</v>
      </c>
      <c r="Q168" s="114">
        <f>SUM(N168:P168)</f>
        <v>27356.256333447182</v>
      </c>
      <c r="R168" s="115">
        <f>Q168/[2]Popn!$B$40*1000</f>
        <v>80.819640836483075</v>
      </c>
      <c r="T168" s="109"/>
      <c r="U168" s="110"/>
      <c r="V168" s="110"/>
      <c r="W168" s="203">
        <f>SUMIF([2]ACT!$U$62:$U$98,B164,[2]ACT!$P$62:$P$98)</f>
        <v>44101.919578187291</v>
      </c>
      <c r="X168" s="130"/>
      <c r="Y168" s="130"/>
      <c r="Z168" s="130"/>
      <c r="AA168" s="276"/>
      <c r="AB168" s="113"/>
      <c r="AC168" s="113"/>
      <c r="AD168" s="113"/>
      <c r="AE168" s="113"/>
      <c r="AF168" s="117"/>
      <c r="AG168" s="112"/>
      <c r="AH168" s="113"/>
      <c r="AI168" s="113"/>
      <c r="AJ168" s="114">
        <f>W168</f>
        <v>44101.919578187291</v>
      </c>
      <c r="AK168" s="118">
        <f>AJ168/[2]Popn!$B$40*1000</f>
        <v>130.29199818363514</v>
      </c>
      <c r="AL168" s="119"/>
      <c r="AM168" s="109"/>
      <c r="AN168" s="110"/>
      <c r="AO168" s="110"/>
      <c r="AP168" s="111"/>
      <c r="AQ168" s="117"/>
      <c r="AR168" s="113">
        <f>L168*'[2]Lfill en &amp; composn'!$D$17</f>
        <v>6810.8388435386232</v>
      </c>
      <c r="AS168" s="123">
        <f>AR168/SUM($AR$148:$AR$190)</f>
        <v>0.33218823617095883</v>
      </c>
      <c r="AT168" s="113">
        <f>AS168*'[2]Lfill en &amp; composn'!$B$60/'[2]Lfill en &amp; composn'!$B$17</f>
        <v>7392.9214397090645</v>
      </c>
      <c r="AU168" s="120">
        <f>$AT168*I168/SUM($I168:$K168)</f>
        <v>2884.574761666383</v>
      </c>
      <c r="AV168" s="113">
        <f>$AT168*J168/SUM($I168:$K168)</f>
        <v>4266.7608311653976</v>
      </c>
      <c r="AW168" s="114">
        <f>$AT168*K168/SUM($I168:$K168)</f>
        <v>241.58584687728481</v>
      </c>
      <c r="AX168" s="110"/>
      <c r="AY168" s="241">
        <f>AU168</f>
        <v>2884.574761666383</v>
      </c>
      <c r="AZ168" s="242">
        <f>AV168</f>
        <v>4266.7608311653976</v>
      </c>
      <c r="BA168" s="242">
        <f>AW168</f>
        <v>241.58584687728481</v>
      </c>
      <c r="BB168" s="114">
        <f>AT168+AP168</f>
        <v>7392.9214397090645</v>
      </c>
      <c r="BC168" s="118">
        <f>BB168/[2]Popn!$B$40*1000</f>
        <v>21.841192311065441</v>
      </c>
      <c r="BD168" s="122"/>
      <c r="BG168" s="147" t="s">
        <v>6</v>
      </c>
      <c r="BH168" s="52">
        <f>Q178/1000</f>
        <v>25.053939762127705</v>
      </c>
      <c r="BI168" s="52">
        <f>AJ178/1000</f>
        <v>1.165</v>
      </c>
      <c r="BJ168" s="52">
        <f>BB178/1000</f>
        <v>0</v>
      </c>
      <c r="BK168" s="137">
        <f t="shared" si="29"/>
        <v>4.4433528226904113E-2</v>
      </c>
      <c r="BL168" s="52">
        <f t="shared" si="30"/>
        <v>26.218939762127704</v>
      </c>
      <c r="BM168" s="6"/>
      <c r="BN168" s="6"/>
      <c r="BO168" s="6"/>
      <c r="BU168" s="6"/>
      <c r="BV168" s="6"/>
      <c r="BW168" s="6"/>
      <c r="BX168" s="6"/>
      <c r="BY168" s="6"/>
      <c r="BZ168" s="6"/>
      <c r="CA168" s="6"/>
      <c r="CB168" s="6"/>
      <c r="CC168" s="6"/>
    </row>
    <row r="169" spans="1:81">
      <c r="A169" s="699"/>
      <c r="B169" s="23" t="s">
        <v>6</v>
      </c>
      <c r="C169" s="17" t="s">
        <v>30</v>
      </c>
      <c r="D169" s="57"/>
      <c r="E169" s="2"/>
      <c r="F169" s="2"/>
      <c r="G169" s="63"/>
      <c r="H169" s="2"/>
      <c r="I169" s="112"/>
      <c r="J169" s="113"/>
      <c r="K169" s="113"/>
      <c r="L169" s="22"/>
      <c r="M169" s="2"/>
      <c r="N169" s="23"/>
      <c r="O169" s="19"/>
      <c r="P169" s="19"/>
      <c r="Q169" s="19"/>
      <c r="R169" s="33"/>
      <c r="T169" s="57"/>
      <c r="U169" s="2"/>
      <c r="V169" s="2"/>
      <c r="W169" s="199">
        <f>SUMIF([2]ACT!$T$62:$T$98,C169,[2]ACT!$P$62:$P$98)</f>
        <v>510.58533364922954</v>
      </c>
      <c r="X169" s="198"/>
      <c r="Y169" s="198"/>
      <c r="Z169" s="198"/>
      <c r="AA169" s="274"/>
      <c r="AB169" s="21"/>
      <c r="AC169" s="21"/>
      <c r="AD169" s="21"/>
      <c r="AE169" s="21"/>
      <c r="AF169" s="70"/>
      <c r="AG169" s="20"/>
      <c r="AH169" s="21"/>
      <c r="AI169" s="21"/>
      <c r="AJ169" s="22">
        <f>W169</f>
        <v>510.58533364922954</v>
      </c>
      <c r="AK169" s="29"/>
      <c r="AL169" s="19"/>
      <c r="AM169" s="57"/>
      <c r="AN169" s="2"/>
      <c r="AO169" s="2"/>
      <c r="AP169" s="63"/>
      <c r="AQ169" s="68"/>
      <c r="AR169" s="21"/>
      <c r="AS169" s="21"/>
      <c r="AT169" s="21"/>
      <c r="AU169" s="240"/>
      <c r="AV169" s="19"/>
      <c r="AW169" s="195"/>
      <c r="AX169" s="2"/>
      <c r="AY169" s="238"/>
      <c r="BB169" s="19"/>
      <c r="BC169" s="24"/>
      <c r="BG169" s="147" t="s">
        <v>8</v>
      </c>
      <c r="BH169" s="52">
        <f>Q179/1000</f>
        <v>7.088369963837005</v>
      </c>
      <c r="BI169" s="52">
        <f>AJ179/1000</f>
        <v>11.816530732150843</v>
      </c>
      <c r="BJ169" s="52">
        <f>BB179/1000</f>
        <v>0</v>
      </c>
      <c r="BK169" s="137">
        <f t="shared" si="29"/>
        <v>0.62505119292473421</v>
      </c>
      <c r="BL169" s="52">
        <f t="shared" si="30"/>
        <v>18.904900695987848</v>
      </c>
      <c r="BU169" s="106"/>
      <c r="BV169" s="106"/>
      <c r="BW169" s="106"/>
      <c r="BX169" s="106"/>
      <c r="BY169" s="106"/>
      <c r="BZ169" s="106"/>
      <c r="CA169" s="106"/>
      <c r="CB169" s="106"/>
      <c r="CC169" s="106"/>
    </row>
    <row r="170" spans="1:81">
      <c r="A170" s="699"/>
      <c r="B170" s="23"/>
      <c r="C170" s="17" t="s">
        <v>31</v>
      </c>
      <c r="D170" s="57"/>
      <c r="E170" s="2"/>
      <c r="F170" s="2"/>
      <c r="G170" s="63"/>
      <c r="H170" s="2"/>
      <c r="I170" s="20"/>
      <c r="J170" s="21"/>
      <c r="K170" s="21"/>
      <c r="L170" s="22"/>
      <c r="M170" s="2"/>
      <c r="N170" s="23"/>
      <c r="O170" s="19"/>
      <c r="P170" s="19"/>
      <c r="Q170" s="19"/>
      <c r="R170" s="33"/>
      <c r="T170" s="57"/>
      <c r="U170" s="2"/>
      <c r="V170" s="2"/>
      <c r="W170" s="199">
        <f>SUMIF([2]ACT!$T$62:$T$98,C170,[2]ACT!$P$62:$P$98)</f>
        <v>444.64586647637964</v>
      </c>
      <c r="X170" s="198"/>
      <c r="Y170" s="198"/>
      <c r="Z170" s="198"/>
      <c r="AA170" s="274"/>
      <c r="AB170" s="21"/>
      <c r="AC170" s="21"/>
      <c r="AD170" s="21"/>
      <c r="AE170" s="21"/>
      <c r="AF170" s="70"/>
      <c r="AG170" s="20"/>
      <c r="AH170" s="21"/>
      <c r="AI170" s="21"/>
      <c r="AJ170" s="22">
        <f>W170</f>
        <v>444.64586647637964</v>
      </c>
      <c r="AK170" s="29"/>
      <c r="AL170" s="19"/>
      <c r="AM170" s="57"/>
      <c r="AN170" s="2"/>
      <c r="AO170" s="2"/>
      <c r="AP170" s="63"/>
      <c r="AQ170" s="68"/>
      <c r="AR170" s="21"/>
      <c r="AS170" s="21"/>
      <c r="AT170" s="21"/>
      <c r="AU170" s="240"/>
      <c r="AV170" s="19"/>
      <c r="AW170" s="195"/>
      <c r="AX170" s="2"/>
      <c r="AY170" s="238"/>
      <c r="BB170" s="19"/>
      <c r="BC170" s="24"/>
      <c r="BG170" s="147" t="s">
        <v>7</v>
      </c>
      <c r="BH170" s="52">
        <f>Q182/1000</f>
        <v>17.331491050765273</v>
      </c>
      <c r="BI170" s="52">
        <f>AJ182/1000</f>
        <v>8.3805498481169369</v>
      </c>
      <c r="BJ170" s="52">
        <f>BB182/1000</f>
        <v>4.8058602767507006</v>
      </c>
      <c r="BK170" s="137">
        <f t="shared" si="29"/>
        <v>0.43208771301076104</v>
      </c>
      <c r="BL170" s="52">
        <f t="shared" si="30"/>
        <v>30.517901175632907</v>
      </c>
    </row>
    <row r="171" spans="1:81">
      <c r="A171" s="699"/>
      <c r="B171" s="23"/>
      <c r="C171" s="17" t="s">
        <v>32</v>
      </c>
      <c r="D171" s="57"/>
      <c r="E171" s="2"/>
      <c r="F171" s="2"/>
      <c r="G171" s="63"/>
      <c r="H171" s="2"/>
      <c r="I171" s="20"/>
      <c r="J171" s="21"/>
      <c r="K171" s="21"/>
      <c r="L171" s="22"/>
      <c r="M171" s="2"/>
      <c r="N171" s="23"/>
      <c r="O171" s="19"/>
      <c r="P171" s="19"/>
      <c r="Q171" s="19"/>
      <c r="R171" s="33"/>
      <c r="T171" s="57"/>
      <c r="U171" s="2"/>
      <c r="V171" s="2"/>
      <c r="W171" s="199"/>
      <c r="X171" s="198"/>
      <c r="Y171" s="198"/>
      <c r="Z171" s="198"/>
      <c r="AA171" s="274"/>
      <c r="AB171" s="21"/>
      <c r="AC171" s="21"/>
      <c r="AD171" s="21"/>
      <c r="AE171" s="21"/>
      <c r="AF171" s="70"/>
      <c r="AG171" s="20"/>
      <c r="AH171" s="21"/>
      <c r="AI171" s="21"/>
      <c r="AJ171" s="22"/>
      <c r="AK171" s="29"/>
      <c r="AL171" s="19"/>
      <c r="AM171" s="57"/>
      <c r="AN171" s="2"/>
      <c r="AO171" s="2"/>
      <c r="AP171" s="63"/>
      <c r="AQ171" s="68"/>
      <c r="AR171" s="21"/>
      <c r="AS171" s="21"/>
      <c r="AT171" s="21"/>
      <c r="AU171" s="240"/>
      <c r="AV171" s="19"/>
      <c r="AW171" s="195"/>
      <c r="AX171" s="2"/>
      <c r="AY171" s="238"/>
      <c r="BB171" s="19"/>
      <c r="BC171" s="24"/>
      <c r="BG171" s="147" t="s">
        <v>11</v>
      </c>
      <c r="BH171" s="52">
        <f>Q187/1000</f>
        <v>0</v>
      </c>
      <c r="BI171" s="52">
        <f>AJ187/1000</f>
        <v>0</v>
      </c>
      <c r="BJ171" s="52">
        <f>BB187/1000</f>
        <v>0</v>
      </c>
      <c r="BK171" s="137">
        <v>0</v>
      </c>
      <c r="BL171" s="52">
        <f t="shared" si="30"/>
        <v>0</v>
      </c>
    </row>
    <row r="172" spans="1:81" s="90" customFormat="1">
      <c r="A172" s="699"/>
      <c r="B172" s="91" t="s">
        <v>42</v>
      </c>
      <c r="C172" s="92"/>
      <c r="D172" s="93"/>
      <c r="E172" s="94"/>
      <c r="F172" s="94"/>
      <c r="G172" s="95"/>
      <c r="H172" s="94"/>
      <c r="I172" s="96"/>
      <c r="J172" s="97"/>
      <c r="K172" s="97"/>
      <c r="L172" s="98"/>
      <c r="M172" s="94"/>
      <c r="N172" s="96"/>
      <c r="O172" s="97"/>
      <c r="P172" s="97"/>
      <c r="Q172" s="97"/>
      <c r="R172" s="99"/>
      <c r="T172" s="93"/>
      <c r="U172" s="94"/>
      <c r="V172" s="94"/>
      <c r="W172" s="199"/>
      <c r="X172" s="289"/>
      <c r="Y172" s="289"/>
      <c r="Z172" s="289"/>
      <c r="AA172" s="280"/>
      <c r="AB172" s="97"/>
      <c r="AC172" s="97"/>
      <c r="AD172" s="97"/>
      <c r="AE172" s="97"/>
      <c r="AF172" s="101"/>
      <c r="AG172" s="96"/>
      <c r="AH172" s="97"/>
      <c r="AI172" s="97"/>
      <c r="AJ172" s="98"/>
      <c r="AK172" s="102"/>
      <c r="AL172" s="103"/>
      <c r="AM172" s="93"/>
      <c r="AN172" s="94"/>
      <c r="AO172" s="94"/>
      <c r="AP172" s="95"/>
      <c r="AQ172" s="100"/>
      <c r="AR172" s="97"/>
      <c r="AS172" s="128"/>
      <c r="AT172" s="128"/>
      <c r="AU172" s="104"/>
      <c r="AV172" s="97"/>
      <c r="AW172" s="98"/>
      <c r="AX172" s="94"/>
      <c r="AY172" s="239"/>
      <c r="BB172" s="97"/>
      <c r="BC172" s="105"/>
      <c r="BG172" s="147" t="s">
        <v>1</v>
      </c>
      <c r="BH172" s="52">
        <f>Q188/1000</f>
        <v>0</v>
      </c>
      <c r="BI172" s="52">
        <f>AJ188/1000</f>
        <v>0</v>
      </c>
      <c r="BJ172" s="52">
        <f>BB188/1000</f>
        <v>0</v>
      </c>
      <c r="BK172" s="137">
        <v>0</v>
      </c>
      <c r="BL172" s="52">
        <f t="shared" si="30"/>
        <v>0</v>
      </c>
      <c r="BM172" s="6"/>
      <c r="BN172" s="6"/>
      <c r="BO172" s="6"/>
      <c r="BU172" s="6"/>
      <c r="BV172" s="6"/>
      <c r="BW172" s="6"/>
      <c r="BX172" s="6"/>
      <c r="BY172" s="6"/>
      <c r="BZ172" s="6"/>
      <c r="CA172" s="6"/>
      <c r="CB172" s="6"/>
      <c r="CC172" s="6"/>
    </row>
    <row r="173" spans="1:81">
      <c r="A173" s="699"/>
      <c r="B173" s="23"/>
      <c r="C173" s="17" t="s">
        <v>33</v>
      </c>
      <c r="D173" s="57"/>
      <c r="E173" s="2"/>
      <c r="F173" s="2"/>
      <c r="G173" s="63"/>
      <c r="H173" s="2"/>
      <c r="I173" s="20"/>
      <c r="J173" s="21"/>
      <c r="K173" s="21"/>
      <c r="L173" s="22"/>
      <c r="M173" s="2"/>
      <c r="N173" s="23"/>
      <c r="O173" s="19"/>
      <c r="P173" s="19"/>
      <c r="Q173" s="19"/>
      <c r="R173" s="33"/>
      <c r="T173" s="57"/>
      <c r="U173" s="2"/>
      <c r="V173" s="2"/>
      <c r="W173" s="199"/>
      <c r="X173" s="198"/>
      <c r="Y173" s="198"/>
      <c r="Z173" s="198"/>
      <c r="AA173" s="274"/>
      <c r="AB173" s="21"/>
      <c r="AC173" s="21"/>
      <c r="AD173" s="21"/>
      <c r="AE173" s="21"/>
      <c r="AF173" s="70"/>
      <c r="AG173" s="20"/>
      <c r="AH173" s="21"/>
      <c r="AI173" s="21"/>
      <c r="AJ173" s="22"/>
      <c r="AK173" s="29"/>
      <c r="AL173" s="19"/>
      <c r="AM173" s="57"/>
      <c r="AN173" s="2"/>
      <c r="AO173" s="2"/>
      <c r="AP173" s="63"/>
      <c r="AQ173" s="68"/>
      <c r="AR173" s="21"/>
      <c r="AS173" s="21"/>
      <c r="AT173" s="21"/>
      <c r="AU173" s="240"/>
      <c r="AV173" s="19"/>
      <c r="AW173" s="195"/>
      <c r="AX173" s="2"/>
      <c r="AY173" s="238"/>
      <c r="BB173" s="19"/>
      <c r="BC173" s="24"/>
      <c r="BG173" s="142"/>
      <c r="BU173" s="90"/>
      <c r="BV173" s="90"/>
      <c r="BW173" s="90"/>
      <c r="BX173" s="90"/>
      <c r="BY173" s="90"/>
      <c r="BZ173" s="90"/>
      <c r="CA173" s="90"/>
      <c r="CB173" s="90"/>
      <c r="CC173" s="90"/>
    </row>
    <row r="174" spans="1:81">
      <c r="A174" s="699"/>
      <c r="B174" s="23"/>
      <c r="C174" s="17" t="s">
        <v>34</v>
      </c>
      <c r="D174" s="57"/>
      <c r="E174" s="2"/>
      <c r="F174" s="2"/>
      <c r="G174" s="63"/>
      <c r="H174" s="2"/>
      <c r="I174" s="20"/>
      <c r="J174" s="21"/>
      <c r="K174" s="21"/>
      <c r="L174" s="22"/>
      <c r="M174" s="2"/>
      <c r="N174" s="23"/>
      <c r="O174" s="19"/>
      <c r="P174" s="19"/>
      <c r="Q174" s="19"/>
      <c r="R174" s="33"/>
      <c r="T174" s="57"/>
      <c r="U174" s="2"/>
      <c r="V174" s="2"/>
      <c r="W174" s="199"/>
      <c r="X174" s="198"/>
      <c r="Y174" s="198"/>
      <c r="Z174" s="198"/>
      <c r="AA174" s="274"/>
      <c r="AB174" s="21"/>
      <c r="AC174" s="21"/>
      <c r="AD174" s="21"/>
      <c r="AE174" s="21"/>
      <c r="AF174" s="70"/>
      <c r="AG174" s="20"/>
      <c r="AH174" s="21"/>
      <c r="AI174" s="21"/>
      <c r="AJ174" s="22"/>
      <c r="AK174" s="29"/>
      <c r="AL174" s="19"/>
      <c r="AM174" s="57"/>
      <c r="AN174" s="2"/>
      <c r="AO174" s="2"/>
      <c r="AP174" s="63"/>
      <c r="AQ174" s="68"/>
      <c r="AR174" s="21"/>
      <c r="AS174" s="21"/>
      <c r="AT174" s="21"/>
      <c r="AU174" s="240"/>
      <c r="AV174" s="19"/>
      <c r="AW174" s="195"/>
      <c r="AX174" s="2"/>
      <c r="AY174" s="238"/>
      <c r="BB174" s="19"/>
      <c r="BC174" s="24"/>
    </row>
    <row r="175" spans="1:81">
      <c r="A175" s="699"/>
      <c r="B175" s="23"/>
      <c r="C175" s="17" t="s">
        <v>35</v>
      </c>
      <c r="D175" s="57"/>
      <c r="E175" s="2"/>
      <c r="F175" s="2"/>
      <c r="G175" s="63"/>
      <c r="H175" s="2"/>
      <c r="I175" s="20"/>
      <c r="J175" s="21"/>
      <c r="K175" s="21"/>
      <c r="L175" s="22"/>
      <c r="M175" s="2"/>
      <c r="N175" s="23"/>
      <c r="O175" s="19"/>
      <c r="P175" s="19"/>
      <c r="Q175" s="19"/>
      <c r="R175" s="33"/>
      <c r="T175" s="57"/>
      <c r="U175" s="2"/>
      <c r="V175" s="2"/>
      <c r="W175" s="199"/>
      <c r="X175" s="198"/>
      <c r="Y175" s="198"/>
      <c r="Z175" s="198"/>
      <c r="AA175" s="274"/>
      <c r="AB175" s="21"/>
      <c r="AC175" s="21"/>
      <c r="AD175" s="21"/>
      <c r="AE175" s="21"/>
      <c r="AF175" s="70"/>
      <c r="AG175" s="20"/>
      <c r="AH175" s="21"/>
      <c r="AI175" s="21"/>
      <c r="AJ175" s="22"/>
      <c r="AK175" s="29"/>
      <c r="AL175" s="19"/>
      <c r="AM175" s="57"/>
      <c r="AN175" s="2"/>
      <c r="AO175" s="2"/>
      <c r="AP175" s="63"/>
      <c r="AQ175" s="68"/>
      <c r="AR175" s="21"/>
      <c r="AS175" s="21"/>
      <c r="AT175" s="21"/>
      <c r="AU175" s="240"/>
      <c r="AV175" s="19"/>
      <c r="AW175" s="195"/>
      <c r="AX175" s="2"/>
      <c r="AY175" s="238"/>
      <c r="BB175" s="19"/>
      <c r="BC175" s="24"/>
    </row>
    <row r="176" spans="1:81">
      <c r="A176" s="699"/>
      <c r="B176" s="23"/>
      <c r="C176" s="17" t="s">
        <v>36</v>
      </c>
      <c r="D176" s="57"/>
      <c r="E176" s="2"/>
      <c r="F176" s="2"/>
      <c r="G176" s="63"/>
      <c r="H176" s="2"/>
      <c r="I176" s="20"/>
      <c r="J176" s="21"/>
      <c r="K176" s="21"/>
      <c r="L176" s="22"/>
      <c r="M176" s="2"/>
      <c r="N176" s="23"/>
      <c r="O176" s="19"/>
      <c r="P176" s="19"/>
      <c r="Q176" s="19"/>
      <c r="R176" s="33"/>
      <c r="T176" s="57"/>
      <c r="U176" s="2"/>
      <c r="V176" s="2"/>
      <c r="W176" s="199"/>
      <c r="X176" s="198"/>
      <c r="Y176" s="198"/>
      <c r="Z176" s="198"/>
      <c r="AA176" s="274"/>
      <c r="AB176" s="21"/>
      <c r="AC176" s="21"/>
      <c r="AD176" s="21"/>
      <c r="AE176" s="21"/>
      <c r="AF176" s="70"/>
      <c r="AG176" s="20"/>
      <c r="AH176" s="21"/>
      <c r="AI176" s="21"/>
      <c r="AJ176" s="22"/>
      <c r="AK176" s="29"/>
      <c r="AL176" s="19"/>
      <c r="AM176" s="57"/>
      <c r="AN176" s="2"/>
      <c r="AO176" s="2"/>
      <c r="AP176" s="63"/>
      <c r="AQ176" s="68"/>
      <c r="AR176" s="21"/>
      <c r="AS176" s="21"/>
      <c r="AT176" s="21"/>
      <c r="AU176" s="240"/>
      <c r="AV176" s="19"/>
      <c r="AW176" s="195"/>
      <c r="AX176" s="2"/>
      <c r="AY176" s="238"/>
      <c r="BB176" s="19"/>
      <c r="BC176" s="24"/>
    </row>
    <row r="177" spans="1:81" s="90" customFormat="1">
      <c r="A177" s="699"/>
      <c r="B177" s="91" t="s">
        <v>43</v>
      </c>
      <c r="C177" s="92"/>
      <c r="D177" s="93"/>
      <c r="E177" s="94"/>
      <c r="F177" s="94"/>
      <c r="G177" s="95"/>
      <c r="H177" s="94"/>
      <c r="I177" s="96"/>
      <c r="J177" s="97"/>
      <c r="K177" s="97"/>
      <c r="L177" s="98"/>
      <c r="M177" s="94"/>
      <c r="N177" s="96"/>
      <c r="O177" s="97"/>
      <c r="P177" s="97"/>
      <c r="Q177" s="97"/>
      <c r="R177" s="99"/>
      <c r="T177" s="93"/>
      <c r="U177" s="94"/>
      <c r="V177" s="94"/>
      <c r="W177" s="199"/>
      <c r="X177" s="289"/>
      <c r="Y177" s="289"/>
      <c r="Z177" s="289"/>
      <c r="AA177" s="280"/>
      <c r="AB177" s="97"/>
      <c r="AC177" s="97"/>
      <c r="AD177" s="97"/>
      <c r="AE177" s="97"/>
      <c r="AF177" s="101"/>
      <c r="AG177" s="96"/>
      <c r="AH177" s="97"/>
      <c r="AI177" s="97"/>
      <c r="AJ177" s="98"/>
      <c r="AK177" s="102"/>
      <c r="AL177" s="103"/>
      <c r="AM177" s="93"/>
      <c r="AN177" s="94"/>
      <c r="AO177" s="94"/>
      <c r="AP177" s="95"/>
      <c r="AQ177" s="100"/>
      <c r="AR177" s="97"/>
      <c r="AS177" s="97"/>
      <c r="AT177" s="97"/>
      <c r="AU177" s="104"/>
      <c r="AV177" s="97"/>
      <c r="AW177" s="98"/>
      <c r="AX177" s="94"/>
      <c r="AY177" s="239"/>
      <c r="BB177" s="97"/>
      <c r="BC177" s="105"/>
      <c r="BG177" s="143"/>
      <c r="BU177" s="6"/>
      <c r="BV177" s="6"/>
      <c r="BW177" s="6"/>
      <c r="BX177" s="6"/>
      <c r="BY177" s="6"/>
      <c r="BZ177" s="6"/>
      <c r="CA177" s="6"/>
      <c r="CB177" s="6"/>
      <c r="CC177" s="6"/>
    </row>
    <row r="178" spans="1:81" s="106" customFormat="1">
      <c r="A178" s="699"/>
      <c r="B178" s="107" t="s">
        <v>67</v>
      </c>
      <c r="C178" s="108"/>
      <c r="D178" s="109"/>
      <c r="E178" s="110"/>
      <c r="F178" s="110"/>
      <c r="G178" s="111"/>
      <c r="H178" s="110"/>
      <c r="I178" s="112">
        <f>D191*[2]ACT!$J$785</f>
        <v>11393.660633936606</v>
      </c>
      <c r="J178" s="113">
        <f>E191*[2]ACT!$J$676</f>
        <v>12587.83087591241</v>
      </c>
      <c r="K178" s="113">
        <f>F191*[2]ACT!$J$691</f>
        <v>1072.4482522786902</v>
      </c>
      <c r="L178" s="114">
        <f>SUM(I178:K178)</f>
        <v>25053.939762127706</v>
      </c>
      <c r="M178" s="110"/>
      <c r="N178" s="112">
        <f t="shared" ref="N178:P179" si="31">I178-AU178</f>
        <v>11393.660633936606</v>
      </c>
      <c r="O178" s="113">
        <f t="shared" si="31"/>
        <v>12587.83087591241</v>
      </c>
      <c r="P178" s="113">
        <f t="shared" si="31"/>
        <v>1072.4482522786902</v>
      </c>
      <c r="Q178" s="114">
        <f>SUM(N178:P178)</f>
        <v>25053.939762127706</v>
      </c>
      <c r="R178" s="115">
        <f>Q178/[2]Popn!$B$40*1000</f>
        <v>74.017818389804901</v>
      </c>
      <c r="T178" s="202"/>
      <c r="U178" s="130"/>
      <c r="V178" s="130"/>
      <c r="W178" s="203"/>
      <c r="X178" s="130">
        <f>[2]PACIA!$H$15*[2]PACIA!I15</f>
        <v>827.15</v>
      </c>
      <c r="Y178" s="130">
        <f>[2]PACIA!$H$15*[2]PACIA!J15</f>
        <v>337.84999999999997</v>
      </c>
      <c r="Z178" s="130">
        <f>[2]PACIA!$H$15*[2]PACIA!K15</f>
        <v>0</v>
      </c>
      <c r="AA178" s="276"/>
      <c r="AB178" s="113"/>
      <c r="AC178" s="113"/>
      <c r="AD178" s="113"/>
      <c r="AE178" s="113"/>
      <c r="AF178" s="117"/>
      <c r="AG178" s="112"/>
      <c r="AH178" s="113"/>
      <c r="AI178" s="113"/>
      <c r="AJ178" s="114">
        <f>SUM(X178:Z178)</f>
        <v>1165</v>
      </c>
      <c r="AK178" s="118">
        <f>AJ178/[2]Popn!$B$40*1000</f>
        <v>3.4418043326851024</v>
      </c>
      <c r="AL178" s="119"/>
      <c r="AM178" s="109"/>
      <c r="AN178" s="110"/>
      <c r="AO178" s="110"/>
      <c r="AP178" s="111"/>
      <c r="AQ178" s="116"/>
      <c r="AR178" s="113"/>
      <c r="AS178" s="113"/>
      <c r="AT178" s="113"/>
      <c r="AU178" s="120"/>
      <c r="AV178" s="113"/>
      <c r="AW178" s="114"/>
      <c r="AX178" s="110"/>
      <c r="AY178" s="237"/>
      <c r="BB178" s="113"/>
      <c r="BC178" s="118"/>
      <c r="BG178" s="144"/>
      <c r="BU178" s="90"/>
      <c r="BV178" s="90"/>
      <c r="BW178" s="90"/>
      <c r="BX178" s="90"/>
      <c r="BY178" s="90"/>
      <c r="BZ178" s="90"/>
      <c r="CA178" s="90"/>
      <c r="CB178" s="90"/>
      <c r="CC178" s="90"/>
    </row>
    <row r="179" spans="1:81" s="106" customFormat="1">
      <c r="A179" s="699"/>
      <c r="B179" s="37" t="s">
        <v>8</v>
      </c>
      <c r="C179" s="129" t="s">
        <v>8</v>
      </c>
      <c r="D179" s="109"/>
      <c r="E179" s="110"/>
      <c r="F179" s="110"/>
      <c r="G179" s="111"/>
      <c r="H179" s="110"/>
      <c r="I179" s="112">
        <f>D191*[2]ACT!$J$786</f>
        <v>4329.5910408959098</v>
      </c>
      <c r="J179" s="113">
        <f>E191*[2]ACT!$J$677</f>
        <v>2474.8955620437955</v>
      </c>
      <c r="K179" s="113">
        <f>F191*[2]ACT!$J$692</f>
        <v>283.88336089730041</v>
      </c>
      <c r="L179" s="114">
        <f>SUM(I179:K179)</f>
        <v>7088.3699638370053</v>
      </c>
      <c r="M179" s="110"/>
      <c r="N179" s="112">
        <f t="shared" si="31"/>
        <v>4329.5910408959098</v>
      </c>
      <c r="O179" s="113">
        <f t="shared" si="31"/>
        <v>2474.8955620437955</v>
      </c>
      <c r="P179" s="113">
        <f t="shared" si="31"/>
        <v>283.88336089730041</v>
      </c>
      <c r="Q179" s="114">
        <f>SUM(N179:P179)</f>
        <v>7088.3699638370053</v>
      </c>
      <c r="R179" s="115">
        <f>Q179/[2]Popn!$B$40*1000</f>
        <v>20.941444165844761</v>
      </c>
      <c r="T179" s="109"/>
      <c r="U179" s="110"/>
      <c r="V179" s="110"/>
      <c r="W179" s="203">
        <f>SUMIF([2]ACT!$T$62:$T$98,C179,[2]ACT!$P$62:$P$98)</f>
        <v>11816.530732150843</v>
      </c>
      <c r="X179" s="198"/>
      <c r="Y179" s="198"/>
      <c r="Z179" s="198"/>
      <c r="AA179" s="276"/>
      <c r="AB179" s="113"/>
      <c r="AC179" s="113"/>
      <c r="AD179" s="113"/>
      <c r="AE179" s="113"/>
      <c r="AF179" s="117"/>
      <c r="AG179" s="112"/>
      <c r="AH179" s="113"/>
      <c r="AI179" s="113"/>
      <c r="AJ179" s="114">
        <f>W179</f>
        <v>11816.530732150843</v>
      </c>
      <c r="AK179" s="118">
        <f>AJ179/[2]Popn!$B$40*1000</f>
        <v>34.91003147744501</v>
      </c>
      <c r="AL179" s="119"/>
      <c r="AM179" s="109"/>
      <c r="AN179" s="110"/>
      <c r="AO179" s="110"/>
      <c r="AP179" s="111"/>
      <c r="AQ179" s="116"/>
      <c r="AR179" s="113"/>
      <c r="AS179" s="113"/>
      <c r="AT179" s="113"/>
      <c r="AU179" s="120"/>
      <c r="AV179" s="113"/>
      <c r="AW179" s="114"/>
      <c r="AX179" s="110"/>
      <c r="AY179" s="237"/>
      <c r="BB179" s="113"/>
      <c r="BC179" s="121"/>
      <c r="BG179" s="144"/>
    </row>
    <row r="180" spans="1:81">
      <c r="A180" s="699"/>
      <c r="B180" s="23" t="s">
        <v>7</v>
      </c>
      <c r="C180" s="17" t="s">
        <v>9</v>
      </c>
      <c r="D180" s="57"/>
      <c r="E180" s="2"/>
      <c r="F180" s="2"/>
      <c r="G180" s="63"/>
      <c r="H180" s="2"/>
      <c r="I180" s="112"/>
      <c r="J180" s="113"/>
      <c r="K180" s="113"/>
      <c r="L180" s="22"/>
      <c r="M180" s="2"/>
      <c r="N180" s="20"/>
      <c r="O180" s="21"/>
      <c r="P180" s="21"/>
      <c r="Q180" s="22"/>
      <c r="R180" s="34"/>
      <c r="T180" s="57"/>
      <c r="U180" s="2"/>
      <c r="V180" s="2"/>
      <c r="W180" s="199">
        <f>SUMIF([2]ACT!$T$62:$T$98,C180,[2]ACT!$P$62:$P$98)</f>
        <v>4014.2878326174155</v>
      </c>
      <c r="X180" s="198"/>
      <c r="Y180" s="198"/>
      <c r="Z180" s="198"/>
      <c r="AA180" s="274"/>
      <c r="AB180" s="21"/>
      <c r="AC180" s="21"/>
      <c r="AD180" s="21"/>
      <c r="AE180" s="21"/>
      <c r="AF180" s="70"/>
      <c r="AG180" s="20"/>
      <c r="AH180" s="21"/>
      <c r="AI180" s="21"/>
      <c r="AJ180" s="22">
        <f>W180</f>
        <v>4014.2878326174155</v>
      </c>
      <c r="AK180" s="29">
        <f>AJ180/[2]Popn!$B$40*1000</f>
        <v>11.859565025706187</v>
      </c>
      <c r="AL180" s="19"/>
      <c r="AM180" s="57"/>
      <c r="AN180" s="2"/>
      <c r="AO180" s="2"/>
      <c r="AP180" s="63"/>
      <c r="AQ180" s="68"/>
      <c r="AR180" s="21"/>
      <c r="AS180" s="35"/>
      <c r="AT180" s="21"/>
      <c r="AU180" s="25"/>
      <c r="AV180" s="21"/>
      <c r="AW180" s="22"/>
      <c r="AX180" s="2"/>
      <c r="AY180" s="238"/>
      <c r="BB180" s="21"/>
      <c r="BC180" s="29"/>
      <c r="BU180" s="106"/>
      <c r="BV180" s="106"/>
      <c r="BW180" s="106"/>
      <c r="BX180" s="106"/>
      <c r="BY180" s="106"/>
      <c r="BZ180" s="106"/>
      <c r="CA180" s="106"/>
      <c r="CB180" s="106"/>
      <c r="CC180" s="106"/>
    </row>
    <row r="181" spans="1:81">
      <c r="A181" s="699"/>
      <c r="B181" s="23"/>
      <c r="C181" s="17" t="s">
        <v>10</v>
      </c>
      <c r="D181" s="57"/>
      <c r="E181" s="2"/>
      <c r="F181" s="2"/>
      <c r="G181" s="63"/>
      <c r="H181" s="2"/>
      <c r="I181" s="20"/>
      <c r="J181" s="21"/>
      <c r="K181" s="21"/>
      <c r="L181" s="22"/>
      <c r="M181" s="2"/>
      <c r="N181" s="20"/>
      <c r="O181" s="21"/>
      <c r="P181" s="21"/>
      <c r="Q181" s="22"/>
      <c r="R181" s="33"/>
      <c r="T181" s="57"/>
      <c r="U181" s="2"/>
      <c r="V181" s="2"/>
      <c r="W181" s="199">
        <f>SUMIF([2]ACT!$T$62:$T$98,C181,[2]ACT!$P$62:$P$98)</f>
        <v>4366.2620154995202</v>
      </c>
      <c r="X181" s="198"/>
      <c r="Y181" s="198"/>
      <c r="Z181" s="198"/>
      <c r="AA181" s="274"/>
      <c r="AB181" s="21"/>
      <c r="AC181" s="21"/>
      <c r="AD181" s="21"/>
      <c r="AE181" s="21"/>
      <c r="AF181" s="70"/>
      <c r="AG181" s="20"/>
      <c r="AH181" s="21"/>
      <c r="AI181" s="21"/>
      <c r="AJ181" s="22">
        <f>W181</f>
        <v>4366.2620154995202</v>
      </c>
      <c r="AK181" s="29">
        <f>AJ181/[2]Popn!$B$40*1000</f>
        <v>12.899415899214281</v>
      </c>
      <c r="AL181" s="19"/>
      <c r="AM181" s="57"/>
      <c r="AN181" s="2"/>
      <c r="AO181" s="2"/>
      <c r="AP181" s="63"/>
      <c r="AQ181" s="68"/>
      <c r="AR181" s="21"/>
      <c r="AS181" s="21"/>
      <c r="AT181" s="21"/>
      <c r="AU181" s="240"/>
      <c r="AV181" s="21"/>
      <c r="AW181" s="195"/>
      <c r="AX181" s="2"/>
      <c r="AY181" s="238"/>
      <c r="BB181" s="21"/>
      <c r="BC181" s="29"/>
    </row>
    <row r="182" spans="1:81" s="106" customFormat="1">
      <c r="A182" s="699"/>
      <c r="B182" s="107" t="s">
        <v>67</v>
      </c>
      <c r="C182" s="108"/>
      <c r="D182" s="109"/>
      <c r="E182" s="110"/>
      <c r="F182" s="110"/>
      <c r="G182" s="111"/>
      <c r="H182" s="110"/>
      <c r="I182" s="112">
        <f>D191*[2]ACT!$J$787</f>
        <v>6380.4499550045002</v>
      </c>
      <c r="J182" s="113">
        <f>E191*[2]ACT!$J$678</f>
        <v>12886.525167883212</v>
      </c>
      <c r="K182" s="113">
        <f>F191*[2]ACT!$J$693</f>
        <v>2870.3762046282591</v>
      </c>
      <c r="L182" s="114">
        <f>SUM(I182:K182)</f>
        <v>22137.351327515971</v>
      </c>
      <c r="M182" s="110"/>
      <c r="N182" s="112">
        <f>I182-AU182</f>
        <v>4995.3000094264044</v>
      </c>
      <c r="O182" s="113">
        <f>J182-AV182</f>
        <v>10088.952933814715</v>
      </c>
      <c r="P182" s="113">
        <f>K182-AW182</f>
        <v>2247.2381075241515</v>
      </c>
      <c r="Q182" s="114">
        <f>SUM(N182:P182)</f>
        <v>17331.491050765271</v>
      </c>
      <c r="R182" s="115">
        <f>Q182/[2]Popn!$B$40*1000</f>
        <v>51.2030909788987</v>
      </c>
      <c r="T182" s="109"/>
      <c r="U182" s="110"/>
      <c r="V182" s="110"/>
      <c r="W182" s="203">
        <f>SUM(W180:W181)</f>
        <v>8380.5498481169361</v>
      </c>
      <c r="X182" s="130"/>
      <c r="Y182" s="130"/>
      <c r="Z182" s="130"/>
      <c r="AA182" s="276"/>
      <c r="AB182" s="113"/>
      <c r="AC182" s="113"/>
      <c r="AD182" s="113"/>
      <c r="AE182" s="113"/>
      <c r="AF182" s="117"/>
      <c r="AG182" s="112"/>
      <c r="AH182" s="113"/>
      <c r="AI182" s="113"/>
      <c r="AJ182" s="114">
        <f>W182</f>
        <v>8380.5498481169361</v>
      </c>
      <c r="AK182" s="118">
        <f>AJ182/[2]Popn!$B$40*1000</f>
        <v>24.758980924920468</v>
      </c>
      <c r="AL182" s="119"/>
      <c r="AM182" s="109"/>
      <c r="AN182" s="110"/>
      <c r="AO182" s="110"/>
      <c r="AP182" s="111"/>
      <c r="AQ182" s="116"/>
      <c r="AR182" s="113">
        <f>L182*'[2]Lfill en &amp; composn'!$D$25</f>
        <v>3486.6328340837654</v>
      </c>
      <c r="AS182" s="123">
        <f>AR182/SUM($AR$148:$AR$190)</f>
        <v>0.17005517792112024</v>
      </c>
      <c r="AT182" s="113">
        <f>AS182*'[2]Lfill en &amp; composn'!$B$60/'[2]Lfill en &amp; composn'!$B$25</f>
        <v>4805.8602767507009</v>
      </c>
      <c r="AU182" s="120">
        <f>$AT182*I182/SUM($I182:$K182)</f>
        <v>1385.1499455780954</v>
      </c>
      <c r="AV182" s="113">
        <f>$AT182*J182/SUM($I182:$K182)</f>
        <v>2797.5722340684979</v>
      </c>
      <c r="AW182" s="114">
        <f>$AT182*K182/SUM($I182:$K182)</f>
        <v>623.13809710410749</v>
      </c>
      <c r="AX182" s="110"/>
      <c r="AY182" s="241">
        <f>AU182</f>
        <v>1385.1499455780954</v>
      </c>
      <c r="AZ182" s="242">
        <f>AV182</f>
        <v>2797.5722340684979</v>
      </c>
      <c r="BA182" s="242">
        <f>AW182</f>
        <v>623.13809710410749</v>
      </c>
      <c r="BB182" s="114">
        <f>AT182+AP182</f>
        <v>4805.8602767507009</v>
      </c>
      <c r="BC182" s="118">
        <f>BB182/[2]Popn!$B$40*1000</f>
        <v>14.198137959484795</v>
      </c>
      <c r="BD182" s="122"/>
      <c r="BG182" s="144"/>
      <c r="BU182" s="6"/>
      <c r="BV182" s="6"/>
      <c r="BW182" s="6"/>
      <c r="BX182" s="6"/>
      <c r="BY182" s="6"/>
      <c r="BZ182" s="6"/>
      <c r="CA182" s="6"/>
      <c r="CB182" s="6"/>
      <c r="CC182" s="6"/>
    </row>
    <row r="183" spans="1:81">
      <c r="A183" s="699"/>
      <c r="B183" s="23" t="s">
        <v>11</v>
      </c>
      <c r="C183" s="17" t="s">
        <v>12</v>
      </c>
      <c r="D183" s="57"/>
      <c r="E183" s="2"/>
      <c r="F183" s="2"/>
      <c r="G183" s="63"/>
      <c r="H183" s="2"/>
      <c r="I183" s="112"/>
      <c r="J183" s="21"/>
      <c r="K183" s="21"/>
      <c r="L183" s="22"/>
      <c r="M183" s="2"/>
      <c r="N183" s="20"/>
      <c r="O183" s="21"/>
      <c r="P183" s="21"/>
      <c r="Q183" s="22"/>
      <c r="R183" s="33"/>
      <c r="T183" s="57"/>
      <c r="U183" s="2"/>
      <c r="V183" s="2"/>
      <c r="W183" s="199"/>
      <c r="X183" s="198"/>
      <c r="Y183" s="198"/>
      <c r="Z183" s="198"/>
      <c r="AA183" s="274"/>
      <c r="AB183" s="21"/>
      <c r="AC183" s="21"/>
      <c r="AD183" s="21"/>
      <c r="AE183" s="21"/>
      <c r="AF183" s="70"/>
      <c r="AG183" s="20"/>
      <c r="AH183" s="21"/>
      <c r="AI183" s="21"/>
      <c r="AJ183" s="22"/>
      <c r="AK183" s="29"/>
      <c r="AL183" s="19"/>
      <c r="AM183" s="57"/>
      <c r="AN183" s="2"/>
      <c r="AO183" s="2"/>
      <c r="AP183" s="63"/>
      <c r="AQ183" s="68"/>
      <c r="AR183" s="21"/>
      <c r="AS183" s="21"/>
      <c r="AT183" s="21"/>
      <c r="AU183" s="25"/>
      <c r="AV183" s="21"/>
      <c r="AW183" s="22"/>
      <c r="AX183" s="2"/>
      <c r="AY183" s="23"/>
      <c r="AZ183" s="19"/>
      <c r="BA183" s="19"/>
      <c r="BB183" s="19"/>
      <c r="BC183" s="24"/>
      <c r="BU183" s="106"/>
      <c r="BV183" s="106"/>
      <c r="BW183" s="106"/>
      <c r="BX183" s="106"/>
      <c r="BY183" s="106"/>
      <c r="BZ183" s="106"/>
      <c r="CA183" s="106"/>
      <c r="CB183" s="106"/>
      <c r="CC183" s="106"/>
    </row>
    <row r="184" spans="1:81">
      <c r="A184" s="699"/>
      <c r="B184" s="23"/>
      <c r="C184" s="17" t="s">
        <v>13</v>
      </c>
      <c r="D184" s="57"/>
      <c r="E184" s="2"/>
      <c r="F184" s="2"/>
      <c r="G184" s="156"/>
      <c r="H184" s="3"/>
      <c r="I184" s="20"/>
      <c r="J184" s="21"/>
      <c r="K184" s="21"/>
      <c r="L184" s="22"/>
      <c r="M184" s="83"/>
      <c r="N184" s="20"/>
      <c r="O184" s="21"/>
      <c r="P184" s="21"/>
      <c r="Q184" s="22"/>
      <c r="R184" s="34"/>
      <c r="T184" s="57"/>
      <c r="U184" s="2"/>
      <c r="V184" s="2"/>
      <c r="W184" s="199"/>
      <c r="X184" s="198"/>
      <c r="Y184" s="198"/>
      <c r="Z184" s="198"/>
      <c r="AA184" s="282"/>
      <c r="AB184" s="21"/>
      <c r="AC184" s="21"/>
      <c r="AD184" s="21"/>
      <c r="AE184" s="21"/>
      <c r="AF184" s="70"/>
      <c r="AG184" s="20"/>
      <c r="AH184" s="21"/>
      <c r="AI184" s="21"/>
      <c r="AJ184" s="22"/>
      <c r="AK184" s="29"/>
      <c r="AL184" s="19"/>
      <c r="AM184" s="57"/>
      <c r="AN184" s="2"/>
      <c r="AO184" s="2"/>
      <c r="AP184" s="64"/>
      <c r="AQ184" s="69"/>
      <c r="AR184" s="21"/>
      <c r="AS184" s="21"/>
      <c r="AT184" s="21"/>
      <c r="AU184" s="25"/>
      <c r="AV184" s="21"/>
      <c r="AW184" s="22"/>
      <c r="AX184" s="2"/>
      <c r="AY184" s="20"/>
      <c r="AZ184" s="21"/>
      <c r="BA184" s="21"/>
      <c r="BB184" s="21"/>
      <c r="BC184" s="24"/>
    </row>
    <row r="185" spans="1:81">
      <c r="A185" s="699"/>
      <c r="B185" s="23"/>
      <c r="C185" s="17" t="s">
        <v>14</v>
      </c>
      <c r="D185" s="57"/>
      <c r="E185" s="2"/>
      <c r="F185" s="2"/>
      <c r="G185" s="156"/>
      <c r="H185" s="3"/>
      <c r="I185" s="20"/>
      <c r="J185" s="21"/>
      <c r="K185" s="21"/>
      <c r="L185" s="22"/>
      <c r="M185" s="83"/>
      <c r="N185" s="20"/>
      <c r="O185" s="21"/>
      <c r="P185" s="21"/>
      <c r="Q185" s="22"/>
      <c r="R185" s="34"/>
      <c r="T185" s="57"/>
      <c r="U185" s="2"/>
      <c r="V185" s="2"/>
      <c r="W185" s="199"/>
      <c r="X185" s="198"/>
      <c r="Y185" s="198"/>
      <c r="Z185" s="198"/>
      <c r="AA185" s="282"/>
      <c r="AB185" s="21"/>
      <c r="AC185" s="21"/>
      <c r="AD185" s="21"/>
      <c r="AE185" s="21"/>
      <c r="AF185" s="70"/>
      <c r="AG185" s="20"/>
      <c r="AH185" s="21"/>
      <c r="AI185" s="21"/>
      <c r="AJ185" s="22"/>
      <c r="AK185" s="29"/>
      <c r="AL185" s="19"/>
      <c r="AM185" s="57"/>
      <c r="AN185" s="2"/>
      <c r="AO185" s="2"/>
      <c r="AP185" s="64"/>
      <c r="AQ185" s="69"/>
      <c r="AR185" s="21"/>
      <c r="AS185" s="21"/>
      <c r="AT185" s="21"/>
      <c r="AU185" s="25"/>
      <c r="AV185" s="21"/>
      <c r="AW185" s="22"/>
      <c r="AX185" s="2"/>
      <c r="AY185" s="23"/>
      <c r="AZ185" s="19"/>
      <c r="BA185" s="19"/>
      <c r="BB185" s="21"/>
      <c r="BC185" s="24"/>
    </row>
    <row r="186" spans="1:81">
      <c r="A186" s="699"/>
      <c r="B186" s="23"/>
      <c r="C186" s="17" t="s">
        <v>15</v>
      </c>
      <c r="D186" s="57"/>
      <c r="E186" s="2"/>
      <c r="F186" s="2"/>
      <c r="G186" s="156"/>
      <c r="H186" s="3"/>
      <c r="I186" s="20"/>
      <c r="J186" s="21"/>
      <c r="K186" s="21"/>
      <c r="L186" s="22"/>
      <c r="M186" s="83"/>
      <c r="N186" s="20"/>
      <c r="O186" s="21"/>
      <c r="P186" s="21"/>
      <c r="Q186" s="22"/>
      <c r="R186" s="34"/>
      <c r="T186" s="57"/>
      <c r="U186" s="2"/>
      <c r="V186" s="2"/>
      <c r="W186" s="199"/>
      <c r="X186" s="198"/>
      <c r="Y186" s="198"/>
      <c r="Z186" s="198"/>
      <c r="AA186" s="282"/>
      <c r="AB186" s="21"/>
      <c r="AC186" s="21"/>
      <c r="AD186" s="21"/>
      <c r="AE186" s="21"/>
      <c r="AF186" s="70"/>
      <c r="AG186" s="20"/>
      <c r="AH186" s="21"/>
      <c r="AI186" s="21"/>
      <c r="AJ186" s="22"/>
      <c r="AK186" s="29"/>
      <c r="AL186" s="19"/>
      <c r="AM186" s="57"/>
      <c r="AN186" s="2"/>
      <c r="AO186" s="2"/>
      <c r="AP186" s="64"/>
      <c r="AQ186" s="69"/>
      <c r="AR186" s="21"/>
      <c r="AS186" s="21"/>
      <c r="AT186" s="21"/>
      <c r="AU186" s="25"/>
      <c r="AV186" s="21"/>
      <c r="AW186" s="22"/>
      <c r="AX186" s="2"/>
      <c r="AY186" s="23"/>
      <c r="AZ186" s="19"/>
      <c r="BA186" s="19"/>
      <c r="BB186" s="21"/>
      <c r="BC186" s="24"/>
    </row>
    <row r="187" spans="1:81" s="106" customFormat="1">
      <c r="A187" s="699"/>
      <c r="B187" s="107" t="s">
        <v>67</v>
      </c>
      <c r="C187" s="108"/>
      <c r="D187" s="109"/>
      <c r="E187" s="110"/>
      <c r="F187" s="110"/>
      <c r="G187" s="124"/>
      <c r="H187" s="125"/>
      <c r="I187" s="112">
        <f>D191*[2]ACT!$J$788</f>
        <v>797.55624437556253</v>
      </c>
      <c r="J187" s="113"/>
      <c r="K187" s="113"/>
      <c r="L187" s="114"/>
      <c r="M187" s="110"/>
      <c r="N187" s="112"/>
      <c r="O187" s="113"/>
      <c r="P187" s="113"/>
      <c r="Q187" s="114"/>
      <c r="R187" s="115"/>
      <c r="T187" s="109"/>
      <c r="U187" s="110"/>
      <c r="V187" s="110"/>
      <c r="W187" s="203"/>
      <c r="X187" s="130"/>
      <c r="Y187" s="130"/>
      <c r="Z187" s="130"/>
      <c r="AA187" s="284"/>
      <c r="AB187" s="113"/>
      <c r="AC187" s="113"/>
      <c r="AD187" s="113"/>
      <c r="AE187" s="113"/>
      <c r="AF187" s="117"/>
      <c r="AG187" s="112"/>
      <c r="AH187" s="113"/>
      <c r="AI187" s="113"/>
      <c r="AJ187" s="114">
        <f>W187</f>
        <v>0</v>
      </c>
      <c r="AK187" s="118">
        <f>AJ187/[2]Popn!$B$40*1000</f>
        <v>0</v>
      </c>
      <c r="AL187" s="119"/>
      <c r="AM187" s="109"/>
      <c r="AN187" s="110"/>
      <c r="AO187" s="110"/>
      <c r="AP187" s="124"/>
      <c r="AQ187" s="126"/>
      <c r="AR187" s="113"/>
      <c r="AS187" s="113"/>
      <c r="AT187" s="113"/>
      <c r="AU187" s="120"/>
      <c r="AV187" s="113"/>
      <c r="AW187" s="114"/>
      <c r="AX187" s="110"/>
      <c r="AY187" s="127"/>
      <c r="AZ187" s="119"/>
      <c r="BA187" s="119"/>
      <c r="BB187" s="113"/>
      <c r="BC187" s="121"/>
      <c r="BG187" s="144"/>
      <c r="BU187" s="6"/>
      <c r="BV187" s="6"/>
      <c r="BW187" s="6"/>
      <c r="BX187" s="6"/>
      <c r="BY187" s="6"/>
      <c r="BZ187" s="6"/>
      <c r="CA187" s="6"/>
      <c r="CB187" s="6"/>
      <c r="CC187" s="6"/>
    </row>
    <row r="188" spans="1:81" s="106" customFormat="1" ht="13.5" thickBot="1">
      <c r="A188" s="699"/>
      <c r="B188" s="131" t="s">
        <v>37</v>
      </c>
      <c r="C188" s="132" t="s">
        <v>1</v>
      </c>
      <c r="D188" s="109"/>
      <c r="E188" s="110"/>
      <c r="F188" s="110"/>
      <c r="G188" s="111"/>
      <c r="H188" s="130"/>
      <c r="I188" s="112"/>
      <c r="J188" s="113"/>
      <c r="K188" s="113"/>
      <c r="L188" s="114"/>
      <c r="M188" s="110"/>
      <c r="N188" s="127"/>
      <c r="O188" s="119"/>
      <c r="P188" s="119"/>
      <c r="Q188" s="114"/>
      <c r="R188" s="115"/>
      <c r="T188" s="109"/>
      <c r="U188" s="110"/>
      <c r="V188" s="110"/>
      <c r="W188" s="203"/>
      <c r="X188" s="130"/>
      <c r="Y188" s="130"/>
      <c r="Z188" s="130"/>
      <c r="AA188" s="285"/>
      <c r="AB188" s="113"/>
      <c r="AC188" s="113"/>
      <c r="AD188" s="113"/>
      <c r="AE188" s="113"/>
      <c r="AF188" s="117"/>
      <c r="AG188" s="112"/>
      <c r="AH188" s="113"/>
      <c r="AI188" s="113"/>
      <c r="AJ188" s="114">
        <f>W188</f>
        <v>0</v>
      </c>
      <c r="AK188" s="118">
        <f>AJ188/[2]Popn!$B$40*1000</f>
        <v>0</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81" ht="13.5" thickBot="1">
      <c r="B189" s="19"/>
      <c r="C189" s="38"/>
      <c r="D189" s="57"/>
      <c r="E189" s="2"/>
      <c r="F189" s="2"/>
      <c r="G189" s="63"/>
      <c r="H189" s="2"/>
      <c r="I189" s="20"/>
      <c r="J189" s="21"/>
      <c r="K189" s="21"/>
      <c r="L189" s="22"/>
      <c r="M189" s="2"/>
      <c r="N189" s="23"/>
      <c r="O189" s="19"/>
      <c r="P189" s="19"/>
      <c r="Q189" s="195"/>
      <c r="R189" s="24"/>
      <c r="T189" s="57"/>
      <c r="U189" s="2"/>
      <c r="V189" s="2"/>
      <c r="W189" s="63"/>
      <c r="X189" s="2"/>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c r="CB189" s="106"/>
      <c r="CC189" s="106"/>
    </row>
    <row r="190" spans="1:81" ht="13.5" thickBot="1">
      <c r="C190" s="39" t="s">
        <v>88</v>
      </c>
      <c r="D190" s="58"/>
      <c r="E190" s="59"/>
      <c r="F190" s="2"/>
      <c r="G190" s="65"/>
      <c r="H190" s="2"/>
      <c r="I190" s="20"/>
      <c r="J190" s="21"/>
      <c r="K190" s="21"/>
      <c r="L190" s="22"/>
      <c r="M190" s="2"/>
      <c r="N190" s="303"/>
      <c r="O190" s="38"/>
      <c r="P190" s="38"/>
      <c r="Q190" s="304"/>
      <c r="R190" s="24"/>
      <c r="T190" s="58"/>
      <c r="U190" s="59"/>
      <c r="V190" s="2"/>
      <c r="W190" s="199">
        <f>SUMIF([2]ACT!$T$62:$T$98,C190,[2]ACT!$P$62:$P$98)</f>
        <v>7444.9222733670385</v>
      </c>
      <c r="X190" s="198"/>
      <c r="Y190" s="198"/>
      <c r="Z190" s="198"/>
      <c r="AA190" s="274"/>
      <c r="AB190" s="21"/>
      <c r="AC190" s="21"/>
      <c r="AD190" s="21"/>
      <c r="AE190" s="21"/>
      <c r="AF190" s="70"/>
      <c r="AG190" s="20"/>
      <c r="AH190" s="21"/>
      <c r="AI190" s="21"/>
      <c r="AJ190" s="22">
        <f>W190</f>
        <v>7444.9222733670385</v>
      </c>
      <c r="AK190" s="29">
        <f>AJ190/[2]Popn!$B$40*1000</f>
        <v>21.994820375088835</v>
      </c>
      <c r="AL190" s="19"/>
      <c r="AM190" s="58"/>
      <c r="AN190" s="59"/>
      <c r="AO190" s="2"/>
      <c r="AP190" s="65"/>
      <c r="AQ190" s="68"/>
      <c r="AR190" s="21"/>
      <c r="AS190" s="21"/>
      <c r="AT190" s="21"/>
      <c r="AU190" s="25"/>
      <c r="AV190" s="21"/>
      <c r="AW190" s="22"/>
      <c r="AX190" s="2"/>
      <c r="AY190" s="23"/>
      <c r="AZ190" s="19"/>
      <c r="BA190" s="19"/>
      <c r="BB190" s="19"/>
      <c r="BC190" s="24"/>
    </row>
    <row r="191" spans="1:81" ht="13.5" thickBot="1">
      <c r="C191" s="135" t="s">
        <v>92</v>
      </c>
      <c r="D191" s="134">
        <f>[2]ACT!$L$55</f>
        <v>99808.467153284684</v>
      </c>
      <c r="E191" s="134">
        <f>[2]ACT!$L$53</f>
        <v>85341.226277372261</v>
      </c>
      <c r="F191" s="226">
        <f>[2]ACT!$L$54</f>
        <v>18515.503649635037</v>
      </c>
      <c r="G191" s="66">
        <f>[2]ACT!$L$52</f>
        <v>203665.19708029198</v>
      </c>
      <c r="H191" s="231"/>
      <c r="I191" s="41">
        <f>SUM(I187,I182,I179,I178,I168,I163,I157,I153)</f>
        <v>99808.46715328467</v>
      </c>
      <c r="J191" s="218">
        <f>SUM(J187,J182,J179,J178,J168,J163,J157,J153)</f>
        <v>78857.085149175196</v>
      </c>
      <c r="K191" s="218">
        <f>SUM(K187,K182,K179,K178,K168,K163,K157,K153)</f>
        <v>18515.503649635037</v>
      </c>
      <c r="L191" s="42">
        <f>SUM(L187,L182,L179,L178,L168,L163,L157,L153)</f>
        <v>196383.49970771934</v>
      </c>
      <c r="M191" s="43"/>
      <c r="N191" s="44">
        <f>SUM(N187,N182,N179,N178,N168,N163,N157,N153)</f>
        <v>78350.700418801149</v>
      </c>
      <c r="O191" s="45">
        <f>SUM(O187,O182,O179,O178,O168,O163,O157,O153)</f>
        <v>64322.644696804397</v>
      </c>
      <c r="P191" s="45">
        <f>SUM(P187,P182,P179,P178,P168,P163,P157,P153)</f>
        <v>16209.008944539588</v>
      </c>
      <c r="Q191" s="133">
        <f>SUM(Q187,Q182,Q179,Q178,Q168,Q163,Q157,Q153)</f>
        <v>158882.35406014515</v>
      </c>
      <c r="R191" s="27">
        <f>SUM(R187,R182,R179,R178,R168,R163,R157,R153)</f>
        <v>469.39225286816827</v>
      </c>
      <c r="T191" s="60"/>
      <c r="U191" s="706"/>
      <c r="V191" s="707"/>
      <c r="W191" s="66">
        <f>SUM(W153,W157,W163,W168,W178,W179,W182,W190)</f>
        <v>496512.60385111038</v>
      </c>
      <c r="X191" s="288"/>
      <c r="Y191" s="288"/>
      <c r="Z191" s="288"/>
      <c r="AA191" s="287"/>
      <c r="AB191" s="45"/>
      <c r="AC191" s="45"/>
      <c r="AD191" s="45"/>
      <c r="AE191" s="45"/>
      <c r="AF191" s="85"/>
      <c r="AG191" s="44"/>
      <c r="AH191" s="45"/>
      <c r="AI191" s="45"/>
      <c r="AJ191" s="354">
        <f>SUM(AJ187,AJ182,AJ179,AJ178,AJ168,AJ163,AJ157,AJ153,AJ190)</f>
        <v>538934.05137825152</v>
      </c>
      <c r="AK191" s="27">
        <f>SUM(AK187,AK182,AK179,AK178,AK168,AK163,AK157,AK153,AK190)</f>
        <v>1592.1936077812891</v>
      </c>
      <c r="AL191" s="19"/>
      <c r="AM191" s="60"/>
      <c r="AN191" s="706"/>
      <c r="AO191" s="707"/>
      <c r="AP191" s="66"/>
      <c r="AQ191" s="71"/>
      <c r="AR191" s="45">
        <f>SUM(AR148:AR190)</f>
        <v>20502.950140695117</v>
      </c>
      <c r="AS191" s="46">
        <f>SUM(AS148:AS190)</f>
        <v>1</v>
      </c>
      <c r="AT191" s="45">
        <f>SUM(AT148:AT190)</f>
        <v>62803.50957868863</v>
      </c>
      <c r="AU191" s="47"/>
      <c r="AV191" s="45"/>
      <c r="AW191" s="214"/>
      <c r="AX191" s="43"/>
      <c r="AY191" s="44">
        <f>SUM(AY187,AY182,AY179,AY178,AY168,AY163,AY157,AY153)</f>
        <v>20660.210490107944</v>
      </c>
      <c r="AZ191" s="45">
        <f>SUM(AZ187,AZ182,AZ179,AZ178,AZ168,AZ163,AZ157,AZ153)</f>
        <v>14534.440452370811</v>
      </c>
      <c r="BA191" s="45">
        <f>SUM(BA187,BA182,BA179,BA178,BA168,BA163,BA157,BA153)</f>
        <v>2306.4947050954465</v>
      </c>
      <c r="BB191" s="354">
        <f>SUM(BB187,BB182,BB179,BB178,BB168,BB163,BB157,BB153,BB190)</f>
        <v>37501.145647574202</v>
      </c>
      <c r="BC191" s="27">
        <f>SUM(BC187,BC182,BC179,BC178,BC168,BC163,BC157,BC153,BC190)</f>
        <v>110.7910777428978</v>
      </c>
    </row>
    <row r="192" spans="1:81" ht="13.5" thickBot="1">
      <c r="C192" s="136" t="s">
        <v>65</v>
      </c>
      <c r="G192" s="52"/>
      <c r="I192" s="52"/>
      <c r="Q192" s="49">
        <f>Q191+Q188</f>
        <v>158882.35406014515</v>
      </c>
      <c r="R192" s="50">
        <f>R191+H188/[2]Popn!$B$40*1000</f>
        <v>469.39225286816827</v>
      </c>
      <c r="AJ192" s="353">
        <f>AJ191+AJ188</f>
        <v>538934.05137825152</v>
      </c>
      <c r="AK192" s="216">
        <f>AK191+AK188</f>
        <v>1592.1936077812891</v>
      </c>
      <c r="BB192" s="353">
        <f>BB191+BB188</f>
        <v>37501.145647574202</v>
      </c>
      <c r="BC192" s="216">
        <f>BC191+BC188</f>
        <v>110.7910777428978</v>
      </c>
    </row>
    <row r="194" spans="3:3">
      <c r="C194" s="89"/>
    </row>
  </sheetData>
  <mergeCells count="37">
    <mergeCell ref="BC5:BC6"/>
    <mergeCell ref="B5:B6"/>
    <mergeCell ref="C5:C6"/>
    <mergeCell ref="D5:G5"/>
    <mergeCell ref="H5:H6"/>
    <mergeCell ref="I5:L5"/>
    <mergeCell ref="AY5:BB5"/>
    <mergeCell ref="N4:R4"/>
    <mergeCell ref="N5:Q5"/>
    <mergeCell ref="T5:W5"/>
    <mergeCell ref="AG5:AJ5"/>
    <mergeCell ref="AM5:AP5"/>
    <mergeCell ref="X5:AA5"/>
    <mergeCell ref="T4:AA4"/>
    <mergeCell ref="R5:R6"/>
    <mergeCell ref="AK5:AK6"/>
    <mergeCell ref="AN144:AO144"/>
    <mergeCell ref="A7:A47"/>
    <mergeCell ref="BH7:BL7"/>
    <mergeCell ref="BM7:BN7"/>
    <mergeCell ref="BH8:BK8"/>
    <mergeCell ref="AN50:AO50"/>
    <mergeCell ref="A54:A94"/>
    <mergeCell ref="BH54:BL54"/>
    <mergeCell ref="BM54:BN54"/>
    <mergeCell ref="BH55:BK55"/>
    <mergeCell ref="AN97:AO97"/>
    <mergeCell ref="A101:A141"/>
    <mergeCell ref="BH101:BL101"/>
    <mergeCell ref="BM101:BN101"/>
    <mergeCell ref="BH102:BK102"/>
    <mergeCell ref="A148:A188"/>
    <mergeCell ref="BH148:BL148"/>
    <mergeCell ref="BM148:BN148"/>
    <mergeCell ref="BH149:BK149"/>
    <mergeCell ref="U191:V191"/>
    <mergeCell ref="AN191:AO191"/>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CC194"/>
  <sheetViews>
    <sheetView zoomScale="80" zoomScaleNormal="80"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8.5703125" style="6" customWidth="1"/>
    <col min="3" max="3" width="34.7109375" style="6" customWidth="1"/>
    <col min="4" max="4" width="11.140625" style="6" hidden="1" customWidth="1"/>
    <col min="5" max="5" width="10.5703125" style="6" hidden="1" customWidth="1"/>
    <col min="6" max="6" width="10.28515625"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37.85546875" style="6" hidden="1" customWidth="1"/>
    <col min="14" max="16" width="9.7109375" style="6" customWidth="1"/>
    <col min="17" max="17" width="12.140625" style="6" customWidth="1"/>
    <col min="18" max="18" width="6.7109375" style="6" customWidth="1"/>
    <col min="19" max="19" width="2.7109375" style="6" hidden="1" customWidth="1"/>
    <col min="20" max="22" width="10" style="6" hidden="1" customWidth="1"/>
    <col min="23" max="23" width="9.85546875" style="6" hidden="1" customWidth="1"/>
    <col min="24" max="25" width="7.140625" style="6" hidden="1" customWidth="1"/>
    <col min="26" max="26" width="6" style="6" hidden="1" customWidth="1"/>
    <col min="27" max="27" width="9.85546875" style="6" hidden="1" customWidth="1"/>
    <col min="28" max="28" width="21.42578125" style="6" hidden="1" customWidth="1"/>
    <col min="29" max="30" width="9.85546875" style="6" hidden="1" customWidth="1"/>
    <col min="31" max="31" width="5.5703125" style="6" hidden="1" customWidth="1"/>
    <col min="32" max="32" width="53.85546875" style="6" hidden="1" customWidth="1"/>
    <col min="33" max="33" width="12" style="6" customWidth="1"/>
    <col min="34" max="34" width="9.7109375" style="6" customWidth="1"/>
    <col min="35" max="35" width="12" style="6" customWidth="1"/>
    <col min="36" max="36" width="11.140625" style="6" customWidth="1"/>
    <col min="37" max="37" width="6.8554687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4.28515625" style="6" hidden="1" customWidth="1"/>
    <col min="45" max="45" width="25.42578125" style="6" hidden="1" customWidth="1"/>
    <col min="46" max="46" width="18.28515625" style="6" hidden="1" customWidth="1"/>
    <col min="47" max="47" width="29.5703125" style="6" hidden="1" customWidth="1"/>
    <col min="48" max="48" width="14.42578125" style="6" hidden="1" customWidth="1"/>
    <col min="49" max="49" width="15.42578125" style="6" hidden="1" customWidth="1"/>
    <col min="50" max="50" width="32.5703125" style="6" hidden="1" customWidth="1"/>
    <col min="51" max="54" width="9.7109375" style="6" customWidth="1"/>
    <col min="55" max="55" width="6.570312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73" width="9.140625" style="6"/>
    <col min="74" max="74" width="11" style="6" customWidth="1"/>
    <col min="75" max="75" width="11.140625" style="6" customWidth="1"/>
    <col min="76" max="76" width="10.5703125" style="6" customWidth="1"/>
    <col min="77" max="16384" width="9.140625" style="6"/>
  </cols>
  <sheetData>
    <row r="1" spans="1:73" s="1" customFormat="1" ht="21">
      <c r="A1" s="1" t="s">
        <v>248</v>
      </c>
      <c r="F1" s="227"/>
      <c r="BG1" s="139"/>
    </row>
    <row r="2" spans="1:73" s="157" customFormat="1" ht="13.5" thickBot="1">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248" t="s">
        <v>53</v>
      </c>
      <c r="G4" s="184"/>
      <c r="H4" s="248"/>
      <c r="I4" s="185"/>
      <c r="J4" s="186"/>
      <c r="K4" s="186"/>
      <c r="L4" s="182" t="s">
        <v>41</v>
      </c>
      <c r="M4" s="187"/>
      <c r="N4" s="708" t="s">
        <v>39</v>
      </c>
      <c r="O4" s="708"/>
      <c r="P4" s="708"/>
      <c r="Q4" s="708"/>
      <c r="R4" s="709"/>
      <c r="T4" s="181"/>
      <c r="U4" s="182"/>
      <c r="V4" s="248" t="s">
        <v>53</v>
      </c>
      <c r="W4" s="184"/>
      <c r="X4" s="269"/>
      <c r="Y4" s="264"/>
      <c r="Z4" s="264"/>
      <c r="AA4" s="265"/>
      <c r="AB4" s="268" t="s">
        <v>41</v>
      </c>
      <c r="AC4" s="8"/>
      <c r="AD4" s="8"/>
      <c r="AE4" s="8"/>
      <c r="AF4" s="176"/>
      <c r="AG4" s="190"/>
      <c r="AH4" s="191" t="s">
        <v>39</v>
      </c>
      <c r="AI4" s="248"/>
      <c r="AJ4" s="248"/>
      <c r="AK4" s="249"/>
      <c r="AL4" s="7"/>
      <c r="AM4" s="181"/>
      <c r="AN4" s="182"/>
      <c r="AO4" s="248" t="s">
        <v>53</v>
      </c>
      <c r="AP4" s="184"/>
      <c r="AQ4" s="188"/>
      <c r="AR4" s="7"/>
      <c r="AS4" s="7"/>
      <c r="AT4" s="7"/>
      <c r="AU4" s="182" t="s">
        <v>41</v>
      </c>
      <c r="AV4" s="186"/>
      <c r="AW4" s="186"/>
      <c r="AX4" s="7"/>
      <c r="AY4" s="190"/>
      <c r="AZ4" s="191" t="s">
        <v>39</v>
      </c>
      <c r="BA4" s="248"/>
      <c r="BB4" s="248"/>
      <c r="BC4" s="249"/>
    </row>
    <row r="5" spans="1:73"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250" t="s">
        <v>63</v>
      </c>
      <c r="AR5" s="7"/>
      <c r="AS5" s="178" t="s">
        <v>49</v>
      </c>
      <c r="AT5" s="178"/>
      <c r="AU5" s="179"/>
      <c r="AV5" s="15"/>
      <c r="AW5" s="180"/>
      <c r="AX5" s="7"/>
      <c r="AY5" s="710" t="s">
        <v>60</v>
      </c>
      <c r="AZ5" s="711"/>
      <c r="BA5" s="711"/>
      <c r="BB5" s="712"/>
      <c r="BC5" s="718" t="s">
        <v>62</v>
      </c>
      <c r="BD5" s="8"/>
    </row>
    <row r="6" spans="1:73" ht="13.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0" t="s">
        <v>40</v>
      </c>
      <c r="R6" s="719"/>
      <c r="T6" s="9" t="s">
        <v>44</v>
      </c>
      <c r="U6" s="10" t="s">
        <v>45</v>
      </c>
      <c r="V6" s="10" t="s">
        <v>46</v>
      </c>
      <c r="W6" s="10" t="s">
        <v>40</v>
      </c>
      <c r="X6" s="14" t="s">
        <v>44</v>
      </c>
      <c r="Y6" s="10" t="s">
        <v>45</v>
      </c>
      <c r="Z6" s="10" t="s">
        <v>46</v>
      </c>
      <c r="AA6" s="270" t="s">
        <v>40</v>
      </c>
      <c r="AB6" s="10" t="s">
        <v>44</v>
      </c>
      <c r="AC6" s="10" t="s">
        <v>45</v>
      </c>
      <c r="AD6" s="10" t="s">
        <v>46</v>
      </c>
      <c r="AE6" s="10" t="s">
        <v>40</v>
      </c>
      <c r="AF6" s="251" t="s">
        <v>48</v>
      </c>
      <c r="AG6" s="9" t="s">
        <v>44</v>
      </c>
      <c r="AH6" s="10" t="s">
        <v>45</v>
      </c>
      <c r="AI6" s="10" t="s">
        <v>46</v>
      </c>
      <c r="AJ6" s="10" t="s">
        <v>40</v>
      </c>
      <c r="AK6" s="719"/>
      <c r="AL6" s="247"/>
      <c r="AM6" s="9" t="s">
        <v>44</v>
      </c>
      <c r="AN6" s="10" t="s">
        <v>45</v>
      </c>
      <c r="AO6" s="10" t="s">
        <v>46</v>
      </c>
      <c r="AP6" s="10" t="s">
        <v>40</v>
      </c>
      <c r="AQ6" s="251"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3">
      <c r="A7" s="699" t="s">
        <v>64</v>
      </c>
      <c r="B7" s="16" t="s">
        <v>3</v>
      </c>
      <c r="C7" s="17" t="s">
        <v>16</v>
      </c>
      <c r="D7" s="196">
        <f>[2]NSW!C18</f>
        <v>0</v>
      </c>
      <c r="E7" s="197">
        <f>[2]NSW!D18</f>
        <v>500</v>
      </c>
      <c r="F7" s="197">
        <f>[2]NSW!E18</f>
        <v>2500</v>
      </c>
      <c r="G7" s="63"/>
      <c r="H7" s="5"/>
      <c r="I7" s="151">
        <f>D7</f>
        <v>0</v>
      </c>
      <c r="J7" s="26">
        <f>E7</f>
        <v>500</v>
      </c>
      <c r="K7" s="26">
        <f>F7</f>
        <v>2500</v>
      </c>
      <c r="L7" s="133">
        <f>SUM(I7:K7)</f>
        <v>3000</v>
      </c>
      <c r="M7" s="56"/>
      <c r="N7" s="151">
        <f>D7</f>
        <v>0</v>
      </c>
      <c r="O7" s="26">
        <f>E7</f>
        <v>500</v>
      </c>
      <c r="P7" s="26">
        <f>F7</f>
        <v>2500</v>
      </c>
      <c r="Q7" s="133">
        <f>SUM(N7:P7)</f>
        <v>3000</v>
      </c>
      <c r="R7" s="24"/>
      <c r="T7" s="196">
        <f>[2]NSW!Q18</f>
        <v>0</v>
      </c>
      <c r="U7" s="197">
        <f>[2]NSW!R18</f>
        <v>0</v>
      </c>
      <c r="V7" s="197">
        <f>[2]NSW!S18</f>
        <v>671500</v>
      </c>
      <c r="W7" s="199"/>
      <c r="X7" s="271"/>
      <c r="Y7" s="5"/>
      <c r="Z7" s="5"/>
      <c r="AA7" s="272"/>
      <c r="AB7" s="26"/>
      <c r="AC7" s="26"/>
      <c r="AD7" s="26"/>
      <c r="AE7" s="26"/>
      <c r="AF7" s="84"/>
      <c r="AG7" s="151">
        <f>T7</f>
        <v>0</v>
      </c>
      <c r="AH7" s="26">
        <f t="shared" ref="AH7:AI22" si="0">U7</f>
        <v>0</v>
      </c>
      <c r="AI7" s="26">
        <f t="shared" si="0"/>
        <v>671500</v>
      </c>
      <c r="AJ7" s="22">
        <f>SUM(AG7:AI7)</f>
        <v>671500</v>
      </c>
      <c r="AK7" s="27">
        <f>AJ7/[2]Popn!$C$43*1000</f>
        <v>93.42850797351096</v>
      </c>
      <c r="AL7" s="19"/>
      <c r="AM7" s="55"/>
      <c r="AN7" s="56"/>
      <c r="AO7" s="2"/>
      <c r="AP7" s="63"/>
      <c r="AQ7" s="67"/>
      <c r="AR7" s="26"/>
      <c r="AS7" s="21"/>
      <c r="AT7" s="21"/>
      <c r="AU7" s="25"/>
      <c r="AV7" s="21"/>
      <c r="AW7" s="22"/>
      <c r="AX7" s="56"/>
      <c r="AY7" s="23"/>
      <c r="AZ7" s="19"/>
      <c r="BA7" s="19"/>
      <c r="BB7" s="19"/>
      <c r="BC7" s="24"/>
      <c r="BD7" s="8"/>
      <c r="BH7" s="700" t="s">
        <v>70</v>
      </c>
      <c r="BI7" s="701"/>
      <c r="BJ7" s="701"/>
      <c r="BK7" s="701"/>
      <c r="BL7" s="702"/>
      <c r="BM7" s="700" t="s">
        <v>71</v>
      </c>
      <c r="BN7" s="702"/>
      <c r="BP7" s="8"/>
      <c r="BQ7" s="8"/>
      <c r="BR7" s="8"/>
      <c r="BS7" s="8"/>
      <c r="BT7" s="8"/>
      <c r="BU7" s="8"/>
    </row>
    <row r="8" spans="1:73">
      <c r="A8" s="699"/>
      <c r="B8" s="23"/>
      <c r="C8" s="17" t="s">
        <v>17</v>
      </c>
      <c r="D8" s="201">
        <f>[2]NSW!C19</f>
        <v>32000</v>
      </c>
      <c r="E8" s="198">
        <f>[2]NSW!D19</f>
        <v>26500</v>
      </c>
      <c r="F8" s="198">
        <f>[2]NSW!E19</f>
        <v>87000</v>
      </c>
      <c r="G8" s="63"/>
      <c r="H8" s="5"/>
      <c r="I8" s="20">
        <f t="shared" ref="I8:I49" si="1">D8</f>
        <v>32000</v>
      </c>
      <c r="J8" s="21">
        <f t="shared" ref="J8:J49" si="2">E8</f>
        <v>26500</v>
      </c>
      <c r="K8" s="21">
        <f t="shared" ref="K8:K49" si="3">F8</f>
        <v>87000</v>
      </c>
      <c r="L8" s="22">
        <f t="shared" ref="L8:L49" si="4">SUM(I8:K8)</f>
        <v>145500</v>
      </c>
      <c r="M8" s="2"/>
      <c r="N8" s="20">
        <f t="shared" ref="N8:N49" si="5">D8</f>
        <v>32000</v>
      </c>
      <c r="O8" s="21">
        <f t="shared" ref="O8:O49" si="6">E8</f>
        <v>26500</v>
      </c>
      <c r="P8" s="21">
        <f t="shared" ref="P8:P49" si="7">F8</f>
        <v>87000</v>
      </c>
      <c r="Q8" s="22">
        <f t="shared" ref="Q8:Q49" si="8">SUM(N8:P8)</f>
        <v>145500</v>
      </c>
      <c r="R8" s="24"/>
      <c r="T8" s="201">
        <f>[2]NSW!Q19</f>
        <v>28500</v>
      </c>
      <c r="U8" s="198">
        <f>[2]NSW!R19</f>
        <v>130500</v>
      </c>
      <c r="V8" s="198">
        <f>[2]NSW!S19</f>
        <v>820500</v>
      </c>
      <c r="W8" s="199"/>
      <c r="X8" s="271"/>
      <c r="Y8" s="5"/>
      <c r="Z8" s="5"/>
      <c r="AA8" s="272"/>
      <c r="AB8" s="21"/>
      <c r="AC8" s="21"/>
      <c r="AD8" s="21"/>
      <c r="AE8" s="21"/>
      <c r="AF8" s="70"/>
      <c r="AG8" s="20">
        <f t="shared" ref="AG8:AG49" si="9">T8</f>
        <v>28500</v>
      </c>
      <c r="AH8" s="21">
        <f t="shared" si="0"/>
        <v>130500</v>
      </c>
      <c r="AI8" s="21">
        <f t="shared" si="0"/>
        <v>820500</v>
      </c>
      <c r="AJ8" s="22">
        <f t="shared" ref="AJ8:AJ35" si="10">SUM(AG8:AI8)</f>
        <v>979500</v>
      </c>
      <c r="AK8" s="29">
        <f>AJ8/[2]Popn!$C$43*1000</f>
        <v>136.28179234557555</v>
      </c>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201">
        <f>[2]NSW!C20</f>
        <v>0</v>
      </c>
      <c r="E9" s="198">
        <f>[2]NSW!D20</f>
        <v>27500</v>
      </c>
      <c r="F9" s="198">
        <f>[2]NSW!E20</f>
        <v>253000</v>
      </c>
      <c r="G9" s="63"/>
      <c r="H9" s="5"/>
      <c r="I9" s="20">
        <f t="shared" si="1"/>
        <v>0</v>
      </c>
      <c r="J9" s="21">
        <f t="shared" si="2"/>
        <v>27500</v>
      </c>
      <c r="K9" s="21">
        <f t="shared" si="3"/>
        <v>253000</v>
      </c>
      <c r="L9" s="22">
        <f t="shared" si="4"/>
        <v>280500</v>
      </c>
      <c r="M9" s="2"/>
      <c r="N9" s="20">
        <f t="shared" si="5"/>
        <v>0</v>
      </c>
      <c r="O9" s="21">
        <f t="shared" si="6"/>
        <v>27500</v>
      </c>
      <c r="P9" s="21">
        <f t="shared" si="7"/>
        <v>253000</v>
      </c>
      <c r="Q9" s="22">
        <f t="shared" si="8"/>
        <v>280500</v>
      </c>
      <c r="R9" s="24"/>
      <c r="T9" s="201">
        <f>[2]NSW!Q20</f>
        <v>46500</v>
      </c>
      <c r="U9" s="198">
        <f>[2]NSW!R20</f>
        <v>215000</v>
      </c>
      <c r="V9" s="198">
        <f>[2]NSW!S20</f>
        <v>1353500</v>
      </c>
      <c r="W9" s="199"/>
      <c r="X9" s="271"/>
      <c r="Y9" s="5"/>
      <c r="Z9" s="5"/>
      <c r="AA9" s="272"/>
      <c r="AB9" s="21"/>
      <c r="AC9" s="21"/>
      <c r="AD9" s="21"/>
      <c r="AE9" s="21"/>
      <c r="AF9" s="70"/>
      <c r="AG9" s="20">
        <f t="shared" si="9"/>
        <v>46500</v>
      </c>
      <c r="AH9" s="21">
        <f t="shared" si="0"/>
        <v>215000</v>
      </c>
      <c r="AI9" s="21">
        <f t="shared" si="0"/>
        <v>1353500</v>
      </c>
      <c r="AJ9" s="22">
        <f t="shared" si="10"/>
        <v>1615000</v>
      </c>
      <c r="AK9" s="29">
        <f>AJ9/[2]Popn!$C$43*1000</f>
        <v>224.70147487300105</v>
      </c>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201">
        <f>[2]NSW!C21</f>
        <v>38000</v>
      </c>
      <c r="E10" s="198">
        <f>[2]NSW!D21</f>
        <v>176000</v>
      </c>
      <c r="F10" s="198">
        <f>[2]NSW!E21</f>
        <v>221500</v>
      </c>
      <c r="G10" s="63"/>
      <c r="H10" s="2"/>
      <c r="I10" s="20">
        <f t="shared" si="1"/>
        <v>38000</v>
      </c>
      <c r="J10" s="21">
        <f t="shared" si="2"/>
        <v>176000</v>
      </c>
      <c r="K10" s="21">
        <f t="shared" si="3"/>
        <v>221500</v>
      </c>
      <c r="L10" s="22">
        <f t="shared" si="4"/>
        <v>435500</v>
      </c>
      <c r="M10" s="2"/>
      <c r="N10" s="20">
        <f t="shared" si="5"/>
        <v>38000</v>
      </c>
      <c r="O10" s="21">
        <f t="shared" si="6"/>
        <v>176000</v>
      </c>
      <c r="P10" s="21">
        <f t="shared" si="7"/>
        <v>221500</v>
      </c>
      <c r="Q10" s="22">
        <f t="shared" si="8"/>
        <v>435500</v>
      </c>
      <c r="R10" s="24"/>
      <c r="T10" s="201">
        <f>[2]NSW!Q21</f>
        <v>140000</v>
      </c>
      <c r="U10" s="198">
        <f>[2]NSW!R21</f>
        <v>365500</v>
      </c>
      <c r="V10" s="198">
        <f>[2]NSW!S21</f>
        <v>531000</v>
      </c>
      <c r="W10" s="199"/>
      <c r="X10" s="273"/>
      <c r="Y10" s="2"/>
      <c r="Z10" s="2"/>
      <c r="AA10" s="274"/>
      <c r="AB10" s="21"/>
      <c r="AC10" s="21"/>
      <c r="AD10" s="21"/>
      <c r="AE10" s="21"/>
      <c r="AF10" s="70"/>
      <c r="AG10" s="20">
        <f t="shared" si="9"/>
        <v>140000</v>
      </c>
      <c r="AH10" s="21">
        <f t="shared" si="0"/>
        <v>365500</v>
      </c>
      <c r="AI10" s="21">
        <f t="shared" si="0"/>
        <v>531000</v>
      </c>
      <c r="AJ10" s="22">
        <f t="shared" si="10"/>
        <v>1036500</v>
      </c>
      <c r="AK10" s="29">
        <f>AJ10/[2]Popn!$C$43*1000</f>
        <v>144.21243263521089</v>
      </c>
      <c r="AL10" s="19"/>
      <c r="AM10" s="57"/>
      <c r="AN10" s="2"/>
      <c r="AO10" s="2"/>
      <c r="AP10" s="63"/>
      <c r="AQ10" s="68"/>
      <c r="AR10" s="21"/>
      <c r="AS10" s="21"/>
      <c r="AT10" s="21"/>
      <c r="AU10" s="25"/>
      <c r="AV10" s="21"/>
      <c r="AW10" s="22"/>
      <c r="AX10" s="2"/>
      <c r="AY10" s="23"/>
      <c r="AZ10" s="19"/>
      <c r="BA10" s="19"/>
      <c r="BB10" s="19"/>
      <c r="BC10" s="24"/>
      <c r="BD10" s="30"/>
      <c r="BG10" s="145" t="s">
        <v>72</v>
      </c>
      <c r="BH10" s="52">
        <f>N50/1000</f>
        <v>2023.8761619114018</v>
      </c>
      <c r="BI10" s="52">
        <f>O50/1000</f>
        <v>2181.6746066493597</v>
      </c>
      <c r="BJ10" s="52">
        <f>P50/1000</f>
        <v>1730.4238111413083</v>
      </c>
      <c r="BK10" s="53">
        <f>Q50/1000</f>
        <v>5935.9745797020696</v>
      </c>
      <c r="BL10" s="54">
        <f>R50/1000</f>
        <v>0.82589612561467329</v>
      </c>
      <c r="BM10" s="51">
        <f>Q51/1000</f>
        <v>7564.6171425970288</v>
      </c>
      <c r="BN10" s="54">
        <f>R51/1000</f>
        <v>1.0524957453815103</v>
      </c>
      <c r="BP10" s="30"/>
      <c r="BQ10" s="30"/>
      <c r="BR10" s="30"/>
      <c r="BS10" s="31"/>
      <c r="BT10" s="31"/>
      <c r="BU10" s="32"/>
    </row>
    <row r="11" spans="1:73">
      <c r="A11" s="699"/>
      <c r="B11" s="23"/>
      <c r="C11" s="17" t="s">
        <v>183</v>
      </c>
      <c r="D11" s="201">
        <f>[2]NSW!C22</f>
        <v>1500</v>
      </c>
      <c r="E11" s="198">
        <f>[2]NSW!D22</f>
        <v>16500</v>
      </c>
      <c r="F11" s="198">
        <f>[2]NSW!E22</f>
        <v>29000</v>
      </c>
      <c r="G11" s="63"/>
      <c r="H11" s="2"/>
      <c r="I11" s="20">
        <f t="shared" si="1"/>
        <v>1500</v>
      </c>
      <c r="J11" s="21">
        <f t="shared" si="2"/>
        <v>16500</v>
      </c>
      <c r="K11" s="21">
        <f t="shared" si="3"/>
        <v>29000</v>
      </c>
      <c r="L11" s="22">
        <f t="shared" si="4"/>
        <v>47000</v>
      </c>
      <c r="M11" s="2"/>
      <c r="N11" s="20">
        <f t="shared" si="5"/>
        <v>1500</v>
      </c>
      <c r="O11" s="21">
        <f t="shared" si="6"/>
        <v>16500</v>
      </c>
      <c r="P11" s="21">
        <f t="shared" si="7"/>
        <v>29000</v>
      </c>
      <c r="Q11" s="22">
        <f t="shared" si="8"/>
        <v>47000</v>
      </c>
      <c r="R11" s="33"/>
      <c r="T11" s="201">
        <f>[2]NSW!Q22</f>
        <v>0</v>
      </c>
      <c r="U11" s="198">
        <f>[2]NSW!R22</f>
        <v>1500</v>
      </c>
      <c r="V11" s="198">
        <f>[2]NSW!S22</f>
        <v>3000</v>
      </c>
      <c r="W11" s="199"/>
      <c r="X11" s="273"/>
      <c r="Y11" s="2"/>
      <c r="Z11" s="2"/>
      <c r="AA11" s="274"/>
      <c r="AB11" s="21"/>
      <c r="AC11" s="21"/>
      <c r="AD11" s="21"/>
      <c r="AE11" s="21"/>
      <c r="AF11" s="70"/>
      <c r="AG11" s="20">
        <f t="shared" si="9"/>
        <v>0</v>
      </c>
      <c r="AH11" s="21">
        <f t="shared" si="0"/>
        <v>1500</v>
      </c>
      <c r="AI11" s="21">
        <f t="shared" si="0"/>
        <v>3000</v>
      </c>
      <c r="AJ11" s="22">
        <f t="shared" si="10"/>
        <v>4500</v>
      </c>
      <c r="AK11" s="29">
        <f>AJ11/[2]Popn!$C$43*1000</f>
        <v>0.62610318076068405</v>
      </c>
      <c r="AL11" s="19"/>
      <c r="AM11" s="57"/>
      <c r="AN11" s="2"/>
      <c r="AO11" s="2"/>
      <c r="AP11" s="63"/>
      <c r="AQ11" s="68"/>
      <c r="AR11" s="21"/>
      <c r="AS11" s="21"/>
      <c r="AT11" s="21"/>
      <c r="AU11" s="25"/>
      <c r="AV11" s="21"/>
      <c r="AW11" s="22"/>
      <c r="AX11" s="2"/>
      <c r="AY11" s="23"/>
      <c r="AZ11" s="19"/>
      <c r="BA11" s="19"/>
      <c r="BB11" s="19"/>
      <c r="BC11" s="24"/>
      <c r="BD11" s="30"/>
      <c r="BG11" s="77" t="s">
        <v>68</v>
      </c>
      <c r="BH11" s="52">
        <f>AG50/1000</f>
        <v>2457</v>
      </c>
      <c r="BI11" s="52">
        <f>AH50/1000</f>
        <v>3099.5</v>
      </c>
      <c r="BJ11" s="52">
        <f>AI50/1000</f>
        <v>5156</v>
      </c>
      <c r="BK11" s="53">
        <f>AJ50/1000</f>
        <v>10712.5</v>
      </c>
      <c r="BL11" s="54">
        <f>AK50/1000</f>
        <v>1.4904734053108508</v>
      </c>
      <c r="BM11" s="51">
        <f>AJ51/1000</f>
        <v>13589.098982335672</v>
      </c>
      <c r="BN11" s="54">
        <f>AK51/1000</f>
        <v>1.8907062436693645</v>
      </c>
    </row>
    <row r="12" spans="1:73" s="106" customFormat="1">
      <c r="A12" s="699"/>
      <c r="B12" s="107" t="s">
        <v>67</v>
      </c>
      <c r="C12" s="108"/>
      <c r="D12" s="202">
        <f>SUM(D7:D11)</f>
        <v>71500</v>
      </c>
      <c r="E12" s="130">
        <f>SUM(E7:E11)</f>
        <v>247000</v>
      </c>
      <c r="F12" s="130">
        <f>SUM(F7:F11)</f>
        <v>593000</v>
      </c>
      <c r="G12" s="63"/>
      <c r="H12" s="110"/>
      <c r="I12" s="112">
        <f t="shared" si="1"/>
        <v>71500</v>
      </c>
      <c r="J12" s="113">
        <f t="shared" si="2"/>
        <v>247000</v>
      </c>
      <c r="K12" s="113">
        <f t="shared" si="3"/>
        <v>593000</v>
      </c>
      <c r="L12" s="114">
        <f t="shared" si="4"/>
        <v>911500</v>
      </c>
      <c r="M12" s="110"/>
      <c r="N12" s="112">
        <f t="shared" si="5"/>
        <v>71500</v>
      </c>
      <c r="O12" s="113">
        <f t="shared" si="6"/>
        <v>247000</v>
      </c>
      <c r="P12" s="113">
        <f t="shared" si="7"/>
        <v>593000</v>
      </c>
      <c r="Q12" s="114">
        <f t="shared" si="8"/>
        <v>911500</v>
      </c>
      <c r="R12" s="115">
        <f>Q12/[2]Popn!$C$43*1000</f>
        <v>126.82067761408078</v>
      </c>
      <c r="T12" s="202">
        <f>SUM(T7:T11)</f>
        <v>215000</v>
      </c>
      <c r="U12" s="130">
        <f>SUM(U7:U11)</f>
        <v>712500</v>
      </c>
      <c r="V12" s="130">
        <f>SUM(V7:V11)</f>
        <v>3379500</v>
      </c>
      <c r="W12" s="203"/>
      <c r="X12" s="275"/>
      <c r="Y12" s="110"/>
      <c r="Z12" s="110"/>
      <c r="AA12" s="276"/>
      <c r="AB12" s="113"/>
      <c r="AC12" s="113"/>
      <c r="AD12" s="21"/>
      <c r="AE12" s="113"/>
      <c r="AF12" s="117"/>
      <c r="AG12" s="112">
        <f t="shared" si="9"/>
        <v>215000</v>
      </c>
      <c r="AH12" s="113">
        <f t="shared" si="0"/>
        <v>712500</v>
      </c>
      <c r="AI12" s="113">
        <f t="shared" si="0"/>
        <v>3379500</v>
      </c>
      <c r="AJ12" s="114">
        <f>SUM(AJ7:AJ11)</f>
        <v>4307000</v>
      </c>
      <c r="AK12" s="118">
        <f>SUM(AK7:AK11)</f>
        <v>599.25031100805916</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274.12383808859823</v>
      </c>
      <c r="BI12" s="52">
        <f>AZ50/1000</f>
        <v>189.82505420182855</v>
      </c>
      <c r="BJ12" s="52">
        <f>BA50/1000</f>
        <v>18.576188858691616</v>
      </c>
      <c r="BK12" s="53">
        <f>BB50/1000</f>
        <v>482.52508114911836</v>
      </c>
      <c r="BL12" s="54">
        <f>BC50/1000</f>
        <v>6.7135664023171157E-2</v>
      </c>
      <c r="BM12" s="51">
        <f>BB51/1000</f>
        <v>482.52508114911836</v>
      </c>
      <c r="BN12" s="54">
        <f>BC51/1000</f>
        <v>6.7135664023171157E-2</v>
      </c>
      <c r="BO12" s="6"/>
    </row>
    <row r="13" spans="1:73">
      <c r="A13" s="699"/>
      <c r="B13" s="23" t="s">
        <v>4</v>
      </c>
      <c r="C13" s="17" t="s">
        <v>19</v>
      </c>
      <c r="D13" s="201">
        <f>[2]NSW!C24</f>
        <v>36000</v>
      </c>
      <c r="E13" s="198">
        <f>[2]NSW!D24</f>
        <v>33000</v>
      </c>
      <c r="F13" s="198">
        <f>[2]NSW!E24</f>
        <v>35000</v>
      </c>
      <c r="G13" s="63"/>
      <c r="H13" s="2"/>
      <c r="I13" s="20">
        <f t="shared" si="1"/>
        <v>36000</v>
      </c>
      <c r="J13" s="21">
        <f t="shared" si="2"/>
        <v>33000</v>
      </c>
      <c r="K13" s="21">
        <f t="shared" si="3"/>
        <v>35000</v>
      </c>
      <c r="L13" s="22">
        <f t="shared" si="4"/>
        <v>104000</v>
      </c>
      <c r="M13" s="2"/>
      <c r="N13" s="20">
        <f t="shared" si="5"/>
        <v>36000</v>
      </c>
      <c r="O13" s="21">
        <f t="shared" si="6"/>
        <v>33000</v>
      </c>
      <c r="P13" s="21">
        <f t="shared" si="7"/>
        <v>35000</v>
      </c>
      <c r="Q13" s="22">
        <f t="shared" si="8"/>
        <v>104000</v>
      </c>
      <c r="R13" s="33"/>
      <c r="T13" s="201">
        <f>[2]NSW!Q24</f>
        <v>279500</v>
      </c>
      <c r="U13" s="198">
        <f>[2]NSW!R24</f>
        <v>775000</v>
      </c>
      <c r="V13" s="198">
        <f>[2]NSW!S24</f>
        <v>810000</v>
      </c>
      <c r="W13" s="199"/>
      <c r="X13" s="273"/>
      <c r="Y13" s="2"/>
      <c r="Z13" s="2"/>
      <c r="AA13" s="274"/>
      <c r="AB13" s="21"/>
      <c r="AC13" s="21"/>
      <c r="AD13" s="21"/>
      <c r="AE13" s="21"/>
      <c r="AF13" s="70"/>
      <c r="AG13" s="20">
        <f t="shared" si="9"/>
        <v>279500</v>
      </c>
      <c r="AH13" s="21">
        <f t="shared" si="0"/>
        <v>775000</v>
      </c>
      <c r="AI13" s="21">
        <f t="shared" si="0"/>
        <v>810000</v>
      </c>
      <c r="AJ13" s="22">
        <f t="shared" si="10"/>
        <v>1864500</v>
      </c>
      <c r="AK13" s="29">
        <f>AJ13/[2]Popn!$C$43*1000</f>
        <v>259.41541789517674</v>
      </c>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11">SUM(BH11:BH12)/BH14</f>
        <v>0.57436884081779149</v>
      </c>
      <c r="BI13" s="86">
        <f t="shared" si="11"/>
        <v>0.60122925573167907</v>
      </c>
      <c r="BJ13" s="86">
        <f t="shared" si="11"/>
        <v>0.74939553785064317</v>
      </c>
      <c r="BK13" s="87">
        <f t="shared" si="11"/>
        <v>0.65349514346980453</v>
      </c>
      <c r="BL13" s="87">
        <f t="shared" si="11"/>
        <v>0.65349514346980453</v>
      </c>
      <c r="BM13" s="88">
        <f t="shared" si="11"/>
        <v>0.65037285956718505</v>
      </c>
      <c r="BN13" s="87">
        <f t="shared" si="11"/>
        <v>0.65037285956718494</v>
      </c>
    </row>
    <row r="14" spans="1:73">
      <c r="A14" s="699"/>
      <c r="B14" s="23"/>
      <c r="C14" s="17" t="s">
        <v>20</v>
      </c>
      <c r="D14" s="201">
        <f>[2]NSW!C25</f>
        <v>12500</v>
      </c>
      <c r="E14" s="198">
        <f>[2]NSW!D25</f>
        <v>5000</v>
      </c>
      <c r="F14" s="198">
        <f>[2]NSW!E25</f>
        <v>4000</v>
      </c>
      <c r="G14" s="63"/>
      <c r="H14" s="2"/>
      <c r="I14" s="20">
        <f t="shared" si="1"/>
        <v>12500</v>
      </c>
      <c r="J14" s="21">
        <f t="shared" si="2"/>
        <v>5000</v>
      </c>
      <c r="K14" s="21">
        <f t="shared" si="3"/>
        <v>4000</v>
      </c>
      <c r="L14" s="22">
        <f t="shared" si="4"/>
        <v>21500</v>
      </c>
      <c r="M14" s="2"/>
      <c r="N14" s="20">
        <f t="shared" si="5"/>
        <v>12500</v>
      </c>
      <c r="O14" s="21">
        <f t="shared" si="6"/>
        <v>5000</v>
      </c>
      <c r="P14" s="21">
        <f t="shared" si="7"/>
        <v>4000</v>
      </c>
      <c r="Q14" s="22">
        <f t="shared" si="8"/>
        <v>21500</v>
      </c>
      <c r="R14" s="33"/>
      <c r="T14" s="201">
        <f>[2]NSW!Q25</f>
        <v>17000</v>
      </c>
      <c r="U14" s="198">
        <f>[2]NSW!R25</f>
        <v>54500</v>
      </c>
      <c r="V14" s="198">
        <f>[2]NSW!S25</f>
        <v>42500</v>
      </c>
      <c r="W14" s="199"/>
      <c r="X14" s="273"/>
      <c r="Y14" s="2"/>
      <c r="Z14" s="2"/>
      <c r="AA14" s="274"/>
      <c r="AB14" s="725"/>
      <c r="AC14" s="21"/>
      <c r="AD14" s="21"/>
      <c r="AE14" s="21"/>
      <c r="AF14" s="70"/>
      <c r="AG14" s="20">
        <f t="shared" si="9"/>
        <v>17000</v>
      </c>
      <c r="AH14" s="21">
        <f t="shared" si="0"/>
        <v>54500</v>
      </c>
      <c r="AI14" s="21">
        <f t="shared" si="0"/>
        <v>42500</v>
      </c>
      <c r="AJ14" s="22">
        <f t="shared" si="10"/>
        <v>114000</v>
      </c>
      <c r="AK14" s="29">
        <f>AJ14/[2]Popn!$C$43*1000</f>
        <v>15.861280579270661</v>
      </c>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12">SUM(BH10:BH12)</f>
        <v>4755</v>
      </c>
      <c r="BI14" s="52">
        <f t="shared" si="12"/>
        <v>5470.9996608511883</v>
      </c>
      <c r="BJ14" s="52">
        <f t="shared" si="12"/>
        <v>6905</v>
      </c>
      <c r="BK14" s="74">
        <f t="shared" si="12"/>
        <v>17130.999660851186</v>
      </c>
      <c r="BL14" s="76">
        <f>SUM(BL10:BL12)</f>
        <v>2.3835051949486949</v>
      </c>
      <c r="BM14" s="81">
        <f t="shared" si="12"/>
        <v>21636.241206081817</v>
      </c>
      <c r="BN14" s="76">
        <f t="shared" si="12"/>
        <v>3.0103376530740458</v>
      </c>
    </row>
    <row r="15" spans="1:73">
      <c r="A15" s="699"/>
      <c r="B15" s="23"/>
      <c r="C15" s="17" t="s">
        <v>21</v>
      </c>
      <c r="D15" s="201">
        <f>[2]NSW!C26</f>
        <v>2500</v>
      </c>
      <c r="E15" s="198">
        <f>[2]NSW!D26</f>
        <v>1000</v>
      </c>
      <c r="F15" s="198">
        <f>[2]NSW!E26</f>
        <v>500</v>
      </c>
      <c r="G15" s="63"/>
      <c r="H15" s="2"/>
      <c r="I15" s="20">
        <f t="shared" si="1"/>
        <v>2500</v>
      </c>
      <c r="J15" s="21">
        <f t="shared" si="2"/>
        <v>1000</v>
      </c>
      <c r="K15" s="21">
        <f t="shared" si="3"/>
        <v>500</v>
      </c>
      <c r="L15" s="22">
        <f t="shared" si="4"/>
        <v>4000</v>
      </c>
      <c r="M15" s="2"/>
      <c r="N15" s="20">
        <f t="shared" si="5"/>
        <v>2500</v>
      </c>
      <c r="O15" s="21">
        <f t="shared" si="6"/>
        <v>1000</v>
      </c>
      <c r="P15" s="21">
        <f t="shared" si="7"/>
        <v>500</v>
      </c>
      <c r="Q15" s="22">
        <f t="shared" si="8"/>
        <v>4000</v>
      </c>
      <c r="R15" s="33"/>
      <c r="T15" s="201">
        <f>[2]NSW!Q26</f>
        <v>8500</v>
      </c>
      <c r="U15" s="198">
        <f>[2]NSW!R26</f>
        <v>26500</v>
      </c>
      <c r="V15" s="198">
        <f>[2]NSW!S26</f>
        <v>21000</v>
      </c>
      <c r="W15" s="199"/>
      <c r="X15" s="273"/>
      <c r="Y15" s="2"/>
      <c r="Z15" s="2"/>
      <c r="AA15" s="274"/>
      <c r="AB15" s="725"/>
      <c r="AC15" s="21"/>
      <c r="AD15" s="21"/>
      <c r="AE15" s="21"/>
      <c r="AF15" s="70"/>
      <c r="AG15" s="20">
        <f t="shared" si="9"/>
        <v>8500</v>
      </c>
      <c r="AH15" s="21">
        <f t="shared" si="0"/>
        <v>26500</v>
      </c>
      <c r="AI15" s="21">
        <f t="shared" si="0"/>
        <v>21000</v>
      </c>
      <c r="AJ15" s="22">
        <f t="shared" si="10"/>
        <v>56000</v>
      </c>
      <c r="AK15" s="29">
        <f>AJ15/[2]Popn!$C$43*1000</f>
        <v>7.7915062494662903</v>
      </c>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202">
        <f>SUM(D13:D15)</f>
        <v>51000</v>
      </c>
      <c r="E16" s="130">
        <f>SUM(E13:E15)</f>
        <v>39000</v>
      </c>
      <c r="F16" s="130">
        <f>SUM(F13:F15)</f>
        <v>39500</v>
      </c>
      <c r="G16" s="63"/>
      <c r="H16" s="110"/>
      <c r="I16" s="112">
        <f t="shared" si="1"/>
        <v>51000</v>
      </c>
      <c r="J16" s="113">
        <f t="shared" si="2"/>
        <v>39000</v>
      </c>
      <c r="K16" s="113">
        <f t="shared" si="3"/>
        <v>39500</v>
      </c>
      <c r="L16" s="114">
        <f t="shared" si="4"/>
        <v>129500</v>
      </c>
      <c r="M16" s="110"/>
      <c r="N16" s="112">
        <f t="shared" si="5"/>
        <v>51000</v>
      </c>
      <c r="O16" s="113">
        <f t="shared" si="6"/>
        <v>39000</v>
      </c>
      <c r="P16" s="113">
        <f t="shared" si="7"/>
        <v>39500</v>
      </c>
      <c r="Q16" s="114">
        <f t="shared" si="8"/>
        <v>129500</v>
      </c>
      <c r="R16" s="115">
        <f>Q16/[2]Popn!$C$43*1000</f>
        <v>18.017858201890796</v>
      </c>
      <c r="T16" s="202">
        <f>SUM(T13:T15)</f>
        <v>305000</v>
      </c>
      <c r="U16" s="130">
        <f>SUM(U13:U15)</f>
        <v>856000</v>
      </c>
      <c r="V16" s="130">
        <f>SUM(V13:V15)</f>
        <v>873500</v>
      </c>
      <c r="W16" s="203"/>
      <c r="X16" s="275"/>
      <c r="Y16" s="110"/>
      <c r="Z16" s="110"/>
      <c r="AA16" s="276"/>
      <c r="AB16" s="113"/>
      <c r="AC16" s="113"/>
      <c r="AD16" s="113"/>
      <c r="AE16" s="113"/>
      <c r="AF16" s="117"/>
      <c r="AG16" s="112">
        <f t="shared" si="9"/>
        <v>305000</v>
      </c>
      <c r="AH16" s="113">
        <f t="shared" si="0"/>
        <v>856000</v>
      </c>
      <c r="AI16" s="113">
        <f t="shared" si="0"/>
        <v>873500</v>
      </c>
      <c r="AJ16" s="114">
        <f>SUM(AJ13:AJ15)</f>
        <v>2034500</v>
      </c>
      <c r="AK16" s="118">
        <f>SUM(AK13:AK15)</f>
        <v>283.06820472391371</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201">
        <f>[2]NSW!C28</f>
        <v>799500</v>
      </c>
      <c r="E17" s="198">
        <f>[2]NSW!D28</f>
        <v>429500</v>
      </c>
      <c r="F17" s="198">
        <f>[2]NSW!E28</f>
        <v>0</v>
      </c>
      <c r="G17" s="63"/>
      <c r="H17" s="2"/>
      <c r="I17" s="20">
        <f t="shared" si="1"/>
        <v>799500</v>
      </c>
      <c r="J17" s="21">
        <f t="shared" si="2"/>
        <v>429500</v>
      </c>
      <c r="K17" s="21">
        <f t="shared" si="3"/>
        <v>0</v>
      </c>
      <c r="L17" s="22">
        <f t="shared" si="4"/>
        <v>1229000</v>
      </c>
      <c r="M17" s="2"/>
      <c r="N17" s="20">
        <f>D17-AY17</f>
        <v>612011.83774320083</v>
      </c>
      <c r="O17" s="21">
        <f t="shared" ref="O17:P21" si="13">E17-AZ17</f>
        <v>328779.34247742931</v>
      </c>
      <c r="P17" s="21">
        <f t="shared" si="13"/>
        <v>0</v>
      </c>
      <c r="Q17" s="22">
        <f t="shared" si="8"/>
        <v>940791.18022063014</v>
      </c>
      <c r="R17" s="34"/>
      <c r="T17" s="201">
        <f>[2]NSW!Q28</f>
        <v>84500</v>
      </c>
      <c r="U17" s="198">
        <f>[2]NSW!R28</f>
        <v>98000</v>
      </c>
      <c r="V17" s="198">
        <f>[2]NSW!S28</f>
        <v>0</v>
      </c>
      <c r="W17" s="199"/>
      <c r="X17" s="273"/>
      <c r="Y17" s="2"/>
      <c r="Z17" s="2"/>
      <c r="AA17" s="274"/>
      <c r="AB17" s="21"/>
      <c r="AC17" s="21"/>
      <c r="AD17" s="21"/>
      <c r="AE17" s="21"/>
      <c r="AF17" s="70"/>
      <c r="AG17" s="20">
        <f t="shared" si="9"/>
        <v>84500</v>
      </c>
      <c r="AH17" s="21">
        <f t="shared" si="0"/>
        <v>98000</v>
      </c>
      <c r="AI17" s="21">
        <f t="shared" si="0"/>
        <v>0</v>
      </c>
      <c r="AJ17" s="22">
        <f t="shared" si="10"/>
        <v>182500</v>
      </c>
      <c r="AK17" s="29">
        <f>AJ17/[2]Popn!$C$43*1000</f>
        <v>25.391962330849967</v>
      </c>
      <c r="AL17" s="19"/>
      <c r="AM17" s="57"/>
      <c r="AN17" s="2"/>
      <c r="AO17" s="2"/>
      <c r="AP17" s="63"/>
      <c r="AQ17" s="70"/>
      <c r="AR17" s="21">
        <f>L17*'[2]Lfill en &amp; composn'!$D$16</f>
        <v>154854</v>
      </c>
      <c r="AS17" s="35">
        <f>AR17/SUM($AR$7:$AR$49)</f>
        <v>0.43045824724414439</v>
      </c>
      <c r="AT17" s="21">
        <f>AS17*'[2]Lfill en &amp; composn'!$C$64/'[2]Lfill en &amp; composn'!$B$16</f>
        <v>288208.81977936986</v>
      </c>
      <c r="AU17" s="359">
        <f>$AT17*I17/SUM($I17:$K17)</f>
        <v>187488.1622567992</v>
      </c>
      <c r="AV17" s="301">
        <f>$AT17*J17/SUM($I17:$K17)</f>
        <v>100720.65752257066</v>
      </c>
      <c r="AW17" s="360">
        <f>$AT17*K17/SUM($I17:$K17)</f>
        <v>0</v>
      </c>
      <c r="AX17" s="82"/>
      <c r="AY17" s="306">
        <f t="shared" ref="AY17:BA18" si="14">AU17</f>
        <v>187488.1622567992</v>
      </c>
      <c r="AZ17" s="301">
        <f t="shared" si="14"/>
        <v>100720.65752257066</v>
      </c>
      <c r="BA17" s="301">
        <f t="shared" si="14"/>
        <v>0</v>
      </c>
      <c r="BB17" s="21">
        <f>SUM(AY17:BA17)</f>
        <v>288208.81977936986</v>
      </c>
      <c r="BC17" s="361">
        <f>BB17/[2]Popn!$C$43*1000</f>
        <v>40.099657508254722</v>
      </c>
      <c r="BD17" s="30"/>
      <c r="BJ17" s="427" t="s">
        <v>138</v>
      </c>
      <c r="BK17" s="428" t="str">
        <f>IF(SUM(BH11:BJ11)=BK11,"OK","Problem")</f>
        <v>OK</v>
      </c>
    </row>
    <row r="18" spans="1:67">
      <c r="A18" s="699"/>
      <c r="B18" s="23"/>
      <c r="C18" s="17" t="s">
        <v>23</v>
      </c>
      <c r="D18" s="201">
        <f>[2]NSW!C29</f>
        <v>362500</v>
      </c>
      <c r="E18" s="198">
        <f>[2]NSW!D29</f>
        <v>92000</v>
      </c>
      <c r="F18" s="198">
        <f>[2]NSW!E29</f>
        <v>16500</v>
      </c>
      <c r="G18" s="63"/>
      <c r="H18" s="2"/>
      <c r="I18" s="20">
        <f t="shared" si="1"/>
        <v>362500</v>
      </c>
      <c r="J18" s="21">
        <f t="shared" si="2"/>
        <v>92000</v>
      </c>
      <c r="K18" s="21">
        <f t="shared" si="3"/>
        <v>16500</v>
      </c>
      <c r="L18" s="22">
        <f t="shared" si="4"/>
        <v>471000</v>
      </c>
      <c r="M18" s="2"/>
      <c r="N18" s="20">
        <f>D18-AY18</f>
        <v>298743.47202805849</v>
      </c>
      <c r="O18" s="21">
        <f t="shared" si="13"/>
        <v>75819.032900914142</v>
      </c>
      <c r="P18" s="21">
        <f t="shared" si="13"/>
        <v>13597.978726794385</v>
      </c>
      <c r="Q18" s="22">
        <f t="shared" si="8"/>
        <v>388160.48365576699</v>
      </c>
      <c r="R18" s="34"/>
      <c r="T18" s="201">
        <f>[2]NSW!Q29</f>
        <v>596000</v>
      </c>
      <c r="U18" s="198">
        <f>[2]NSW!R29</f>
        <v>216500</v>
      </c>
      <c r="V18" s="198">
        <f>[2]NSW!S29</f>
        <v>31500</v>
      </c>
      <c r="W18" s="199"/>
      <c r="X18" s="273"/>
      <c r="Y18" s="2"/>
      <c r="Z18" s="2"/>
      <c r="AA18" s="274"/>
      <c r="AB18" s="21"/>
      <c r="AC18" s="21"/>
      <c r="AD18" s="21"/>
      <c r="AE18" s="21"/>
      <c r="AF18" s="70"/>
      <c r="AG18" s="20">
        <f t="shared" si="9"/>
        <v>596000</v>
      </c>
      <c r="AH18" s="21">
        <f t="shared" si="0"/>
        <v>216500</v>
      </c>
      <c r="AI18" s="21">
        <f t="shared" si="0"/>
        <v>31500</v>
      </c>
      <c r="AJ18" s="22">
        <f t="shared" si="10"/>
        <v>844000</v>
      </c>
      <c r="AK18" s="29">
        <f>AJ18/[2]Popn!$C$43*1000</f>
        <v>117.42912990267051</v>
      </c>
      <c r="AL18" s="19"/>
      <c r="AM18" s="57"/>
      <c r="AN18" s="2"/>
      <c r="AO18" s="2"/>
      <c r="AP18" s="63"/>
      <c r="AQ18" s="68"/>
      <c r="AR18" s="21">
        <f>L18*'[2]Lfill en &amp; composn'!$D$16</f>
        <v>59346</v>
      </c>
      <c r="AS18" s="35">
        <f t="shared" ref="AS18:AS26" si="15">AR18/SUM($AR$7:$AR$49)</f>
        <v>0.16496813218225548</v>
      </c>
      <c r="AT18" s="21">
        <f>AS18*'[2]Lfill en &amp; composn'!$C$64/'[2]Lfill en &amp; composn'!$B$18</f>
        <v>82839.516344233009</v>
      </c>
      <c r="AU18" s="359">
        <f t="shared" ref="AU18:AU26" si="16">$AT18*I18/SUM($I18:$K18)</f>
        <v>63756.527971941541</v>
      </c>
      <c r="AV18" s="301">
        <f t="shared" ref="AV18:AW21" si="17">$AT18*J18/SUM($I18:$K18)</f>
        <v>16180.967099085852</v>
      </c>
      <c r="AW18" s="360">
        <f t="shared" si="17"/>
        <v>2902.0212732056148</v>
      </c>
      <c r="AX18" s="2"/>
      <c r="AY18" s="306">
        <f t="shared" si="14"/>
        <v>63756.527971941541</v>
      </c>
      <c r="AZ18" s="301">
        <f t="shared" si="14"/>
        <v>16180.967099085852</v>
      </c>
      <c r="BA18" s="301">
        <f t="shared" si="14"/>
        <v>2902.0212732056148</v>
      </c>
      <c r="BB18" s="21">
        <f>SUM(AY18:BA18)</f>
        <v>82839.516344233009</v>
      </c>
      <c r="BC18" s="361">
        <f>BB18/[2]Popn!$C$43*1000</f>
        <v>11.525796594622436</v>
      </c>
      <c r="BD18" s="36"/>
    </row>
    <row r="19" spans="1:67">
      <c r="A19" s="699"/>
      <c r="B19" s="23"/>
      <c r="C19" s="17" t="s">
        <v>24</v>
      </c>
      <c r="D19" s="201">
        <f>[2]NSW!C30</f>
        <v>34000</v>
      </c>
      <c r="E19" s="198">
        <f>[2]NSW!D30</f>
        <v>271499.66085118824</v>
      </c>
      <c r="F19" s="198">
        <f>[2]NSW!E30</f>
        <v>157000</v>
      </c>
      <c r="G19" s="63"/>
      <c r="H19" s="2"/>
      <c r="I19" s="20">
        <f t="shared" si="1"/>
        <v>34000</v>
      </c>
      <c r="J19" s="21">
        <f t="shared" si="2"/>
        <v>271499.66085118824</v>
      </c>
      <c r="K19" s="21">
        <f t="shared" si="3"/>
        <v>157000</v>
      </c>
      <c r="L19" s="22">
        <f t="shared" si="4"/>
        <v>462499.66085118824</v>
      </c>
      <c r="M19" s="2"/>
      <c r="N19" s="20">
        <f>D19-AY19</f>
        <v>31218.640640197576</v>
      </c>
      <c r="O19" s="21">
        <f t="shared" si="13"/>
        <v>249289.71606025778</v>
      </c>
      <c r="P19" s="21">
        <f t="shared" si="13"/>
        <v>144156.66413267705</v>
      </c>
      <c r="Q19" s="22">
        <f t="shared" si="8"/>
        <v>424665.02083313244</v>
      </c>
      <c r="R19" s="34"/>
      <c r="T19" s="201">
        <f>[2]NSW!Q30</f>
        <v>4500</v>
      </c>
      <c r="U19" s="198">
        <f>[2]NSW!R30</f>
        <v>58500</v>
      </c>
      <c r="V19" s="198">
        <f>[2]NSW!S30</f>
        <v>89500</v>
      </c>
      <c r="W19" s="199"/>
      <c r="X19" s="273"/>
      <c r="Y19" s="2"/>
      <c r="Z19" s="2"/>
      <c r="AA19" s="274"/>
      <c r="AB19" s="21"/>
      <c r="AC19" s="21"/>
      <c r="AD19" s="21"/>
      <c r="AE19" s="21"/>
      <c r="AF19" s="70"/>
      <c r="AG19" s="20">
        <f t="shared" si="9"/>
        <v>4500</v>
      </c>
      <c r="AH19" s="21">
        <f t="shared" si="0"/>
        <v>58500</v>
      </c>
      <c r="AI19" s="21">
        <f t="shared" si="0"/>
        <v>89500</v>
      </c>
      <c r="AJ19" s="22">
        <f t="shared" si="10"/>
        <v>152500</v>
      </c>
      <c r="AK19" s="29">
        <f>AJ19/[2]Popn!$C$43*1000</f>
        <v>21.21794112577874</v>
      </c>
      <c r="AL19" s="19"/>
      <c r="AM19" s="57"/>
      <c r="AN19" s="2"/>
      <c r="AO19" s="2"/>
      <c r="AP19" s="63"/>
      <c r="AQ19" s="70"/>
      <c r="AR19" s="21">
        <f>L19*'[2]Lfill en &amp; composn'!$D$16</f>
        <v>58274.957267249716</v>
      </c>
      <c r="AS19" s="35">
        <f t="shared" si="15"/>
        <v>0.16199088149797697</v>
      </c>
      <c r="AT19" s="21">
        <f>AS19*'[2]Lfill en &amp; composn'!$C$64/'[2]Lfill en &amp; composn'!$B$19</f>
        <v>37834.640018055834</v>
      </c>
      <c r="AU19" s="359">
        <f t="shared" si="16"/>
        <v>2781.3593598024222</v>
      </c>
      <c r="AV19" s="301">
        <f t="shared" si="17"/>
        <v>22209.944790930462</v>
      </c>
      <c r="AW19" s="360">
        <f t="shared" si="17"/>
        <v>12843.33586732295</v>
      </c>
      <c r="AX19" s="2"/>
      <c r="AY19" s="306">
        <f>AU19</f>
        <v>2781.3593598024222</v>
      </c>
      <c r="AZ19" s="301">
        <f t="shared" ref="AZ19:BA21" si="18">AV19</f>
        <v>22209.944790930462</v>
      </c>
      <c r="BA19" s="301">
        <f t="shared" si="18"/>
        <v>12843.33586732295</v>
      </c>
      <c r="BB19" s="21">
        <f>SUM(AY19:BA19)</f>
        <v>37834.640018055834</v>
      </c>
      <c r="BC19" s="361">
        <f>BB19/[2]Popn!$C$43*1000</f>
        <v>5.2640863240533822</v>
      </c>
    </row>
    <row r="20" spans="1:67">
      <c r="A20" s="699"/>
      <c r="B20" s="23"/>
      <c r="C20" s="17" t="s">
        <v>25</v>
      </c>
      <c r="D20" s="201">
        <f>[2]NSW!C31</f>
        <v>7000</v>
      </c>
      <c r="E20" s="198">
        <f>[2]NSW!D31</f>
        <v>38000</v>
      </c>
      <c r="F20" s="198">
        <f>[2]NSW!E31</f>
        <v>0</v>
      </c>
      <c r="G20" s="63"/>
      <c r="H20" s="2"/>
      <c r="I20" s="20">
        <f t="shared" si="1"/>
        <v>7000</v>
      </c>
      <c r="J20" s="21">
        <f t="shared" si="2"/>
        <v>38000</v>
      </c>
      <c r="K20" s="21">
        <f t="shared" si="3"/>
        <v>0</v>
      </c>
      <c r="L20" s="22">
        <f t="shared" si="4"/>
        <v>45000</v>
      </c>
      <c r="M20" s="2"/>
      <c r="N20" s="20">
        <f>D20-AY20</f>
        <v>5974.0328832101359</v>
      </c>
      <c r="O20" s="21">
        <f t="shared" si="13"/>
        <v>32430.464223140738</v>
      </c>
      <c r="P20" s="21">
        <f t="shared" si="13"/>
        <v>0</v>
      </c>
      <c r="Q20" s="22">
        <f t="shared" si="8"/>
        <v>38404.497106350871</v>
      </c>
      <c r="R20" s="34"/>
      <c r="T20" s="201">
        <f>[2]NSW!Q31</f>
        <v>0</v>
      </c>
      <c r="U20" s="198">
        <f>[2]NSW!R31</f>
        <v>478500</v>
      </c>
      <c r="V20" s="198">
        <f>[2]NSW!S31</f>
        <v>0</v>
      </c>
      <c r="W20" s="199"/>
      <c r="X20" s="273"/>
      <c r="Y20" s="2"/>
      <c r="Z20" s="2"/>
      <c r="AA20" s="274"/>
      <c r="AB20" s="21"/>
      <c r="AC20" s="21"/>
      <c r="AD20" s="21"/>
      <c r="AE20" s="21"/>
      <c r="AF20" s="70"/>
      <c r="AG20" s="20">
        <f t="shared" si="9"/>
        <v>0</v>
      </c>
      <c r="AH20" s="21">
        <f t="shared" si="0"/>
        <v>478500</v>
      </c>
      <c r="AI20" s="21">
        <f t="shared" si="0"/>
        <v>0</v>
      </c>
      <c r="AJ20" s="22">
        <f t="shared" si="10"/>
        <v>478500</v>
      </c>
      <c r="AK20" s="29">
        <f>AJ20/[2]Popn!$C$43*1000</f>
        <v>66.575638220886063</v>
      </c>
      <c r="AL20" s="19"/>
      <c r="AM20" s="57"/>
      <c r="AN20" s="2"/>
      <c r="AO20" s="2"/>
      <c r="AP20" s="63"/>
      <c r="AQ20" s="68"/>
      <c r="AR20" s="21">
        <f>L20*'[2]Lfill en &amp; composn'!$D$16</f>
        <v>5670</v>
      </c>
      <c r="AS20" s="35">
        <f t="shared" si="15"/>
        <v>1.5761286514228232E-2</v>
      </c>
      <c r="AT20" s="21">
        <f>AS20*'[2]Lfill en &amp; composn'!$C$64/'[2]Lfill en &amp; composn'!$B$24</f>
        <v>6595.5028936491271</v>
      </c>
      <c r="AU20" s="359">
        <f t="shared" si="16"/>
        <v>1025.9671167898641</v>
      </c>
      <c r="AV20" s="301">
        <f t="shared" si="17"/>
        <v>5569.535776859263</v>
      </c>
      <c r="AW20" s="360">
        <f t="shared" si="17"/>
        <v>0</v>
      </c>
      <c r="AX20" s="83"/>
      <c r="AY20" s="306">
        <f>AU20</f>
        <v>1025.9671167898641</v>
      </c>
      <c r="AZ20" s="301">
        <f t="shared" si="18"/>
        <v>5569.535776859263</v>
      </c>
      <c r="BA20" s="301">
        <f t="shared" si="18"/>
        <v>0</v>
      </c>
      <c r="BB20" s="21">
        <f t="shared" ref="BB20:BB26" si="19">SUM(AY20:BA20)</f>
        <v>6595.5028936491271</v>
      </c>
      <c r="BC20" s="361">
        <f>BB20/[2]Popn!$C$43*1000</f>
        <v>0.91765896454000306</v>
      </c>
    </row>
    <row r="21" spans="1:67">
      <c r="A21" s="699"/>
      <c r="B21" s="23"/>
      <c r="C21" s="17" t="s">
        <v>0</v>
      </c>
      <c r="D21" s="201">
        <f>[2]NSW!C32</f>
        <v>0</v>
      </c>
      <c r="E21" s="198">
        <f>[2]NSW!D32</f>
        <v>6500</v>
      </c>
      <c r="F21" s="198">
        <f>[2]NSW!E32</f>
        <v>0</v>
      </c>
      <c r="G21" s="199"/>
      <c r="H21" s="198">
        <f>[2]Biosolids!$C$192</f>
        <v>19484.516284680336</v>
      </c>
      <c r="I21" s="20">
        <f t="shared" si="1"/>
        <v>0</v>
      </c>
      <c r="J21" s="21">
        <f t="shared" si="2"/>
        <v>6500</v>
      </c>
      <c r="K21" s="21">
        <f t="shared" si="3"/>
        <v>0</v>
      </c>
      <c r="L21" s="22">
        <f t="shared" si="4"/>
        <v>6500</v>
      </c>
      <c r="M21" s="2" t="s">
        <v>114</v>
      </c>
      <c r="N21" s="20">
        <f>D21-AY21</f>
        <v>0</v>
      </c>
      <c r="O21" s="21">
        <f t="shared" si="13"/>
        <v>1927.117993736606</v>
      </c>
      <c r="P21" s="21">
        <f t="shared" si="13"/>
        <v>0</v>
      </c>
      <c r="Q21" s="22">
        <f t="shared" si="8"/>
        <v>1927.117993736606</v>
      </c>
      <c r="R21" s="34"/>
      <c r="T21" s="201">
        <f>[2]NSW!Q32</f>
        <v>437000</v>
      </c>
      <c r="U21" s="198">
        <f>[2]NSW!R32</f>
        <v>0</v>
      </c>
      <c r="V21" s="198">
        <f>[2]NSW!S32</f>
        <v>0</v>
      </c>
      <c r="W21" s="199"/>
      <c r="X21" s="277"/>
      <c r="Y21" s="198"/>
      <c r="Z21" s="198"/>
      <c r="AA21" s="278">
        <f>[2]Biosolids!$C$191</f>
        <v>239852.55247285886</v>
      </c>
      <c r="AB21" s="21"/>
      <c r="AC21" s="21"/>
      <c r="AD21" s="21"/>
      <c r="AE21" s="21"/>
      <c r="AF21" s="355" t="s">
        <v>194</v>
      </c>
      <c r="AG21" s="20">
        <f t="shared" si="9"/>
        <v>437000</v>
      </c>
      <c r="AH21" s="21">
        <f t="shared" si="0"/>
        <v>0</v>
      </c>
      <c r="AI21" s="21">
        <f t="shared" si="0"/>
        <v>0</v>
      </c>
      <c r="AJ21" s="22">
        <f t="shared" si="10"/>
        <v>437000</v>
      </c>
      <c r="AK21" s="29">
        <f>AJ21/[2]Popn!$C$43*1000</f>
        <v>60.801575553870876</v>
      </c>
      <c r="AL21" s="19"/>
      <c r="AM21" s="57"/>
      <c r="AN21" s="2"/>
      <c r="AO21" s="2"/>
      <c r="AP21" s="63"/>
      <c r="AQ21" s="68"/>
      <c r="AR21" s="21">
        <f>L21*'[2]Lfill en &amp; composn'!$D$16</f>
        <v>819</v>
      </c>
      <c r="AS21" s="35">
        <f t="shared" si="15"/>
        <v>2.2766302742774111E-3</v>
      </c>
      <c r="AT21" s="21">
        <f>AS21*'[2]Lfill en &amp; composn'!$C$64/'[2]Lfill en &amp; composn'!$B$21</f>
        <v>4572.882006263394</v>
      </c>
      <c r="AU21" s="359">
        <f t="shared" si="16"/>
        <v>0</v>
      </c>
      <c r="AV21" s="301">
        <f t="shared" si="17"/>
        <v>4572.882006263394</v>
      </c>
      <c r="AW21" s="360">
        <f t="shared" si="17"/>
        <v>0</v>
      </c>
      <c r="AX21" s="2"/>
      <c r="AY21" s="306">
        <f>AU21</f>
        <v>0</v>
      </c>
      <c r="AZ21" s="301">
        <f t="shared" si="18"/>
        <v>4572.882006263394</v>
      </c>
      <c r="BA21" s="301">
        <f t="shared" si="18"/>
        <v>0</v>
      </c>
      <c r="BB21" s="21">
        <f t="shared" si="19"/>
        <v>4572.882006263394</v>
      </c>
      <c r="BC21" s="361">
        <f>BB21/[2]Popn!$C$43*1000</f>
        <v>0.63624354874773537</v>
      </c>
    </row>
    <row r="22" spans="1:67" s="106" customFormat="1">
      <c r="A22" s="699"/>
      <c r="B22" s="107" t="s">
        <v>67</v>
      </c>
      <c r="C22" s="108"/>
      <c r="D22" s="202">
        <f>SUM(D17:D21)</f>
        <v>1203000</v>
      </c>
      <c r="E22" s="130">
        <f>SUM(E17:E21)</f>
        <v>837499.66085118824</v>
      </c>
      <c r="F22" s="130">
        <f>SUM(F17:F21)</f>
        <v>173500</v>
      </c>
      <c r="G22" s="63"/>
      <c r="H22" s="110"/>
      <c r="I22" s="112">
        <f t="shared" si="1"/>
        <v>1203000</v>
      </c>
      <c r="J22" s="113">
        <f t="shared" si="2"/>
        <v>837499.66085118824</v>
      </c>
      <c r="K22" s="113">
        <f t="shared" si="3"/>
        <v>173500</v>
      </c>
      <c r="L22" s="114">
        <f t="shared" si="4"/>
        <v>2213999.660851188</v>
      </c>
      <c r="M22" s="110"/>
      <c r="N22" s="112">
        <f>SUM(N17:N21)</f>
        <v>947947.98329466698</v>
      </c>
      <c r="O22" s="113">
        <f>SUM(O17:O21)</f>
        <v>688245.67365547863</v>
      </c>
      <c r="P22" s="113">
        <f>SUM(P17:P21)</f>
        <v>157754.64285947144</v>
      </c>
      <c r="Q22" s="114">
        <f t="shared" si="8"/>
        <v>1793948.299809617</v>
      </c>
      <c r="R22" s="115">
        <f>Q22/[2]Popn!$C$43*1000</f>
        <v>249.5992748068939</v>
      </c>
      <c r="T22" s="202">
        <f>SUM(T17:T21)</f>
        <v>1122000</v>
      </c>
      <c r="U22" s="130">
        <f>SUM(U17:U21)</f>
        <v>851500</v>
      </c>
      <c r="V22" s="130">
        <f>SUM(V17:V21)</f>
        <v>121000</v>
      </c>
      <c r="W22" s="203"/>
      <c r="X22" s="275"/>
      <c r="Y22" s="110"/>
      <c r="Z22" s="110"/>
      <c r="AA22" s="276"/>
      <c r="AB22" s="113"/>
      <c r="AC22" s="113"/>
      <c r="AD22" s="21"/>
      <c r="AE22" s="113"/>
      <c r="AF22" s="117"/>
      <c r="AG22" s="112">
        <f t="shared" si="9"/>
        <v>1122000</v>
      </c>
      <c r="AH22" s="113">
        <f t="shared" si="0"/>
        <v>851500</v>
      </c>
      <c r="AI22" s="113">
        <f t="shared" si="0"/>
        <v>121000</v>
      </c>
      <c r="AJ22" s="114">
        <f>SUM(AJ17:AJ21)</f>
        <v>2094500</v>
      </c>
      <c r="AK22" s="118">
        <f>SUM(AK17:AK21)</f>
        <v>291.41624713405616</v>
      </c>
      <c r="AL22" s="119"/>
      <c r="AM22" s="109"/>
      <c r="AN22" s="110"/>
      <c r="AO22" s="110"/>
      <c r="AP22" s="111"/>
      <c r="AQ22" s="116"/>
      <c r="AR22" s="113"/>
      <c r="AS22" s="113"/>
      <c r="AT22" s="113"/>
      <c r="AU22" s="120"/>
      <c r="AV22" s="113"/>
      <c r="AW22" s="114"/>
      <c r="AX22" s="110"/>
      <c r="AY22" s="241">
        <f>SUM(AY17:AY21)</f>
        <v>255052.01670533302</v>
      </c>
      <c r="AZ22" s="242">
        <f>SUM(AZ17:AZ21)</f>
        <v>149253.98719570963</v>
      </c>
      <c r="BA22" s="242">
        <f>SUM(BA17:BA21)</f>
        <v>15745.357140528566</v>
      </c>
      <c r="BB22" s="114">
        <f>SUM(AY22:BA22)</f>
        <v>420051.36104157119</v>
      </c>
      <c r="BC22" s="118">
        <f>BB22/[2]Popn!$C$43*1000</f>
        <v>58.443442940218269</v>
      </c>
      <c r="BD22" s="122"/>
      <c r="BG22" s="146"/>
      <c r="BH22" s="138" t="s">
        <v>72</v>
      </c>
      <c r="BI22" s="138" t="s">
        <v>68</v>
      </c>
      <c r="BJ22" s="138" t="s">
        <v>69</v>
      </c>
      <c r="BK22" s="138" t="s">
        <v>73</v>
      </c>
      <c r="BL22" s="138" t="s">
        <v>78</v>
      </c>
      <c r="BM22" s="6"/>
      <c r="BN22" s="6"/>
      <c r="BO22" s="6"/>
    </row>
    <row r="23" spans="1:67">
      <c r="A23" s="699"/>
      <c r="B23" s="23" t="s">
        <v>5</v>
      </c>
      <c r="C23" s="17" t="s">
        <v>26</v>
      </c>
      <c r="D23" s="201">
        <f>[2]NSW!C34</f>
        <v>16500</v>
      </c>
      <c r="E23" s="198">
        <f>[2]NSW!D34</f>
        <v>58500</v>
      </c>
      <c r="F23" s="198">
        <f>[2]NSW!E34</f>
        <v>3500</v>
      </c>
      <c r="G23" s="63"/>
      <c r="H23" s="2"/>
      <c r="I23" s="20">
        <f t="shared" si="1"/>
        <v>16500</v>
      </c>
      <c r="J23" s="21">
        <f t="shared" si="2"/>
        <v>58500</v>
      </c>
      <c r="K23" s="21">
        <f t="shared" si="3"/>
        <v>3500</v>
      </c>
      <c r="L23" s="22">
        <f t="shared" si="4"/>
        <v>78500</v>
      </c>
      <c r="M23" s="2"/>
      <c r="N23" s="20">
        <f>D23-AY23</f>
        <v>14242.872343062299</v>
      </c>
      <c r="O23" s="21">
        <f t="shared" ref="O23:P26" si="20">E23-AZ23</f>
        <v>50497.456489039061</v>
      </c>
      <c r="P23" s="21">
        <f t="shared" si="20"/>
        <v>3021.2153454980635</v>
      </c>
      <c r="Q23" s="22">
        <f>SUM(N23:P23)</f>
        <v>67761.544177599426</v>
      </c>
      <c r="R23" s="33"/>
      <c r="T23" s="201">
        <f>[2]NSW!Q34</f>
        <v>180000</v>
      </c>
      <c r="U23" s="198">
        <f>[2]NSW!R34</f>
        <v>231000</v>
      </c>
      <c r="V23" s="198">
        <f>[2]NSW!S34</f>
        <v>0</v>
      </c>
      <c r="W23" s="199"/>
      <c r="X23" s="273"/>
      <c r="Y23" s="2"/>
      <c r="Z23" s="2"/>
      <c r="AA23" s="274"/>
      <c r="AB23" s="21"/>
      <c r="AC23" s="21"/>
      <c r="AD23" s="21"/>
      <c r="AE23" s="21"/>
      <c r="AF23" s="70"/>
      <c r="AG23" s="20">
        <f t="shared" si="9"/>
        <v>180000</v>
      </c>
      <c r="AH23" s="21">
        <f t="shared" ref="AH23:AH49" si="21">U23</f>
        <v>231000</v>
      </c>
      <c r="AI23" s="21">
        <f t="shared" ref="AI23:AI49" si="22">V23</f>
        <v>0</v>
      </c>
      <c r="AJ23" s="22">
        <f t="shared" si="10"/>
        <v>411000</v>
      </c>
      <c r="AK23" s="29">
        <f>AJ23/[2]Popn!$C$43*1000</f>
        <v>57.184090509475809</v>
      </c>
      <c r="AL23" s="19"/>
      <c r="AM23" s="57"/>
      <c r="AN23" s="2"/>
      <c r="AO23" s="2"/>
      <c r="AP23" s="63"/>
      <c r="AQ23" s="68"/>
      <c r="AR23" s="21">
        <f>L23*'[2]Lfill en &amp; composn'!$D$17</f>
        <v>15386</v>
      </c>
      <c r="AS23" s="35">
        <f t="shared" si="15"/>
        <v>4.2769515750955125E-2</v>
      </c>
      <c r="AT23" s="21">
        <f>AS23*'[2]Lfill en &amp; composn'!$C$64/'[2]Lfill en &amp; composn'!$B$17</f>
        <v>10738.455822400576</v>
      </c>
      <c r="AU23" s="359">
        <f t="shared" si="16"/>
        <v>2257.1276569377005</v>
      </c>
      <c r="AV23" s="301">
        <f t="shared" ref="AV23:AW26" si="23">$AT23*J23/SUM($I23:$K23)</f>
        <v>8002.5435109609389</v>
      </c>
      <c r="AW23" s="360">
        <f t="shared" si="23"/>
        <v>478.78465450193653</v>
      </c>
      <c r="AX23" s="2"/>
      <c r="AY23" s="306">
        <f t="shared" ref="AY23:BA26" si="24">AU23</f>
        <v>2257.1276569377005</v>
      </c>
      <c r="AZ23" s="301">
        <f t="shared" si="24"/>
        <v>8002.5435109609389</v>
      </c>
      <c r="BA23" s="301">
        <f t="shared" si="24"/>
        <v>478.78465450193653</v>
      </c>
      <c r="BB23" s="21">
        <f t="shared" si="19"/>
        <v>10738.455822400576</v>
      </c>
      <c r="BC23" s="24"/>
      <c r="BG23" s="147" t="s">
        <v>3</v>
      </c>
      <c r="BH23" s="52">
        <f>Q12/1000</f>
        <v>911.5</v>
      </c>
      <c r="BI23" s="52">
        <f>AJ12/1000</f>
        <v>4307</v>
      </c>
      <c r="BJ23" s="52">
        <f>BB12/1000</f>
        <v>0</v>
      </c>
      <c r="BK23" s="137">
        <f>SUM(BI23:BJ23)/BL23</f>
        <v>0.82533295008144103</v>
      </c>
      <c r="BL23" s="52">
        <f>SUM(BH23:BJ23)</f>
        <v>5218.5</v>
      </c>
    </row>
    <row r="24" spans="1:67">
      <c r="A24" s="699"/>
      <c r="B24" s="23"/>
      <c r="C24" s="17" t="s">
        <v>27</v>
      </c>
      <c r="D24" s="201">
        <f>[2]NSW!C35</f>
        <v>2000</v>
      </c>
      <c r="E24" s="198">
        <f>[2]NSW!D35</f>
        <v>0</v>
      </c>
      <c r="F24" s="198">
        <f>[2]NSW!E35</f>
        <v>0</v>
      </c>
      <c r="G24" s="63"/>
      <c r="H24" s="2"/>
      <c r="I24" s="20">
        <f t="shared" si="1"/>
        <v>2000</v>
      </c>
      <c r="J24" s="21">
        <f t="shared" si="2"/>
        <v>0</v>
      </c>
      <c r="K24" s="21">
        <f t="shared" si="3"/>
        <v>0</v>
      </c>
      <c r="L24" s="22">
        <f t="shared" si="4"/>
        <v>2000</v>
      </c>
      <c r="M24" s="2"/>
      <c r="N24" s="20">
        <f>D24-AY24</f>
        <v>1726.4087688560362</v>
      </c>
      <c r="O24" s="21">
        <f t="shared" si="20"/>
        <v>0</v>
      </c>
      <c r="P24" s="21">
        <f t="shared" si="20"/>
        <v>0</v>
      </c>
      <c r="Q24" s="22">
        <f t="shared" si="8"/>
        <v>1726.4087688560362</v>
      </c>
      <c r="R24" s="33"/>
      <c r="T24" s="201">
        <f>[2]NSW!Q35</f>
        <v>4000</v>
      </c>
      <c r="U24" s="198">
        <f>[2]NSW!R35</f>
        <v>0</v>
      </c>
      <c r="V24" s="198">
        <f>[2]NSW!S35</f>
        <v>0</v>
      </c>
      <c r="W24" s="199"/>
      <c r="X24" s="273"/>
      <c r="Y24" s="2"/>
      <c r="Z24" s="2"/>
      <c r="AA24" s="274"/>
      <c r="AB24" s="21"/>
      <c r="AC24" s="21"/>
      <c r="AD24" s="21"/>
      <c r="AE24" s="21"/>
      <c r="AF24" s="70"/>
      <c r="AG24" s="20">
        <f t="shared" si="9"/>
        <v>4000</v>
      </c>
      <c r="AH24" s="21">
        <f t="shared" si="21"/>
        <v>0</v>
      </c>
      <c r="AI24" s="21">
        <f t="shared" si="22"/>
        <v>0</v>
      </c>
      <c r="AJ24" s="22">
        <f t="shared" si="10"/>
        <v>4000</v>
      </c>
      <c r="AK24" s="29">
        <f>AJ24/[2]Popn!$C$43*1000</f>
        <v>0.55653616067616363</v>
      </c>
      <c r="AL24" s="19"/>
      <c r="AM24" s="57"/>
      <c r="AN24" s="2"/>
      <c r="AO24" s="2"/>
      <c r="AP24" s="63"/>
      <c r="AQ24" s="68"/>
      <c r="AR24" s="21">
        <f>L24*'[2]Lfill en &amp; composn'!$D$17</f>
        <v>392</v>
      </c>
      <c r="AS24" s="35">
        <f t="shared" si="15"/>
        <v>1.089669191107137E-3</v>
      </c>
      <c r="AT24" s="21">
        <f>AS24*'[2]Lfill en &amp; composn'!$C$64/'[2]Lfill en &amp; composn'!$B$17</f>
        <v>273.59123114396374</v>
      </c>
      <c r="AU24" s="359">
        <f t="shared" si="16"/>
        <v>273.59123114396374</v>
      </c>
      <c r="AV24" s="301">
        <f t="shared" si="23"/>
        <v>0</v>
      </c>
      <c r="AW24" s="360">
        <f t="shared" si="23"/>
        <v>0</v>
      </c>
      <c r="AX24" s="2"/>
      <c r="AY24" s="306">
        <f t="shared" si="24"/>
        <v>273.59123114396374</v>
      </c>
      <c r="AZ24" s="301">
        <f t="shared" si="24"/>
        <v>0</v>
      </c>
      <c r="BA24" s="301">
        <f t="shared" si="24"/>
        <v>0</v>
      </c>
      <c r="BB24" s="21">
        <f t="shared" si="19"/>
        <v>273.59123114396374</v>
      </c>
      <c r="BC24" s="24"/>
      <c r="BG24" s="147" t="s">
        <v>4</v>
      </c>
      <c r="BH24" s="52">
        <f>Q16/1000</f>
        <v>129.5</v>
      </c>
      <c r="BI24" s="52">
        <f>AJ16/1000</f>
        <v>2034.5</v>
      </c>
      <c r="BJ24" s="52">
        <f>BB16/1000</f>
        <v>0</v>
      </c>
      <c r="BK24" s="137">
        <f t="shared" ref="BK24:BK31" si="25">SUM(BI24:BJ24)/BL24</f>
        <v>0.94015711645101663</v>
      </c>
      <c r="BL24" s="52">
        <f t="shared" ref="BL24:BL31" si="26">SUM(BH24:BJ24)</f>
        <v>2164</v>
      </c>
    </row>
    <row r="25" spans="1:67">
      <c r="A25" s="699"/>
      <c r="B25" s="23"/>
      <c r="C25" s="17" t="s">
        <v>28</v>
      </c>
      <c r="D25" s="201">
        <f>[2]NSW!C36</f>
        <v>16000</v>
      </c>
      <c r="E25" s="198">
        <f>[2]NSW!D36</f>
        <v>36500</v>
      </c>
      <c r="F25" s="198">
        <f>[2]NSW!E36</f>
        <v>2000</v>
      </c>
      <c r="G25" s="63"/>
      <c r="H25" s="2"/>
      <c r="I25" s="20">
        <f t="shared" si="1"/>
        <v>16000</v>
      </c>
      <c r="J25" s="21">
        <f t="shared" si="2"/>
        <v>36500</v>
      </c>
      <c r="K25" s="21">
        <f t="shared" si="3"/>
        <v>2000</v>
      </c>
      <c r="L25" s="22">
        <f t="shared" si="4"/>
        <v>54500</v>
      </c>
      <c r="M25" s="2"/>
      <c r="N25" s="20">
        <f>D25-AY25</f>
        <v>13811.27015084829</v>
      </c>
      <c r="O25" s="21">
        <f t="shared" si="20"/>
        <v>31506.960031622661</v>
      </c>
      <c r="P25" s="21">
        <f t="shared" si="20"/>
        <v>1726.4087688560362</v>
      </c>
      <c r="Q25" s="22">
        <f t="shared" si="8"/>
        <v>47044.63895132699</v>
      </c>
      <c r="R25" s="33"/>
      <c r="T25" s="201">
        <f>[2]NSW!Q36</f>
        <v>231000</v>
      </c>
      <c r="U25" s="198">
        <f>[2]NSW!R36</f>
        <v>143000</v>
      </c>
      <c r="V25" s="198">
        <f>[2]NSW!S36</f>
        <v>0</v>
      </c>
      <c r="W25" s="199"/>
      <c r="X25" s="273"/>
      <c r="Y25" s="2"/>
      <c r="Z25" s="2"/>
      <c r="AA25" s="274"/>
      <c r="AB25" s="21"/>
      <c r="AC25" s="21"/>
      <c r="AD25" s="21"/>
      <c r="AE25" s="21"/>
      <c r="AF25" s="70"/>
      <c r="AG25" s="20">
        <f t="shared" si="9"/>
        <v>231000</v>
      </c>
      <c r="AH25" s="21">
        <f t="shared" si="21"/>
        <v>143000</v>
      </c>
      <c r="AI25" s="21">
        <f t="shared" si="22"/>
        <v>0</v>
      </c>
      <c r="AJ25" s="22">
        <f t="shared" si="10"/>
        <v>374000</v>
      </c>
      <c r="AK25" s="29">
        <f>AJ25/[2]Popn!$C$43*1000</f>
        <v>52.036131023221301</v>
      </c>
      <c r="AL25" s="19"/>
      <c r="AM25" s="57"/>
      <c r="AN25" s="2"/>
      <c r="AO25" s="2"/>
      <c r="AP25" s="63"/>
      <c r="AQ25" s="68"/>
      <c r="AR25" s="21">
        <f>L25*'[2]Lfill en &amp; composn'!$D$17</f>
        <v>10682</v>
      </c>
      <c r="AS25" s="35">
        <f t="shared" si="15"/>
        <v>2.9693485457669484E-2</v>
      </c>
      <c r="AT25" s="21">
        <f>AS25*'[2]Lfill en &amp; composn'!$C$64/'[2]Lfill en &amp; composn'!$B$17</f>
        <v>7455.3610486730122</v>
      </c>
      <c r="AU25" s="359">
        <f t="shared" si="16"/>
        <v>2188.7298491517099</v>
      </c>
      <c r="AV25" s="301">
        <f t="shared" si="23"/>
        <v>4993.0399683773385</v>
      </c>
      <c r="AW25" s="360">
        <f t="shared" si="23"/>
        <v>273.59123114396374</v>
      </c>
      <c r="AX25" s="2"/>
      <c r="AY25" s="306">
        <f t="shared" si="24"/>
        <v>2188.7298491517099</v>
      </c>
      <c r="AZ25" s="301">
        <f t="shared" si="24"/>
        <v>4993.0399683773385</v>
      </c>
      <c r="BA25" s="301">
        <f t="shared" si="24"/>
        <v>273.59123114396374</v>
      </c>
      <c r="BB25" s="21">
        <f t="shared" si="19"/>
        <v>7455.3610486730113</v>
      </c>
      <c r="BC25" s="24"/>
      <c r="BG25" s="147" t="s">
        <v>2</v>
      </c>
      <c r="BH25" s="52">
        <f>Q22/1000</f>
        <v>1793.9482998096171</v>
      </c>
      <c r="BI25" s="52">
        <f>AJ22/1000</f>
        <v>2094.5</v>
      </c>
      <c r="BJ25" s="52">
        <f>BB22/1000</f>
        <v>420.05136104157117</v>
      </c>
      <c r="BK25" s="137">
        <f t="shared" si="25"/>
        <v>0.58362575350529222</v>
      </c>
      <c r="BL25" s="52">
        <f t="shared" si="26"/>
        <v>4308.4996608511883</v>
      </c>
    </row>
    <row r="26" spans="1:67">
      <c r="A26" s="699"/>
      <c r="B26" s="23"/>
      <c r="C26" s="17" t="s">
        <v>29</v>
      </c>
      <c r="D26" s="201">
        <f>[2]NSW!C37</f>
        <v>9000</v>
      </c>
      <c r="E26" s="198">
        <f>[2]NSW!D37</f>
        <v>97500</v>
      </c>
      <c r="F26" s="198">
        <f>[2]NSW!E37</f>
        <v>5500</v>
      </c>
      <c r="G26" s="63"/>
      <c r="H26" s="2"/>
      <c r="I26" s="20">
        <f t="shared" si="1"/>
        <v>9000</v>
      </c>
      <c r="J26" s="21">
        <f t="shared" si="2"/>
        <v>97500</v>
      </c>
      <c r="K26" s="21">
        <f t="shared" si="3"/>
        <v>5500</v>
      </c>
      <c r="L26" s="22">
        <f t="shared" si="4"/>
        <v>112000</v>
      </c>
      <c r="M26" s="2"/>
      <c r="N26" s="20">
        <f>D26-AY26</f>
        <v>7768.8394598521627</v>
      </c>
      <c r="O26" s="21">
        <f t="shared" si="20"/>
        <v>84162.427481731764</v>
      </c>
      <c r="P26" s="21">
        <f t="shared" si="20"/>
        <v>4747.6241143540992</v>
      </c>
      <c r="Q26" s="22">
        <f t="shared" si="8"/>
        <v>96678.891055938017</v>
      </c>
      <c r="R26" s="33"/>
      <c r="T26" s="201">
        <f>[2]NSW!Q37</f>
        <v>2000</v>
      </c>
      <c r="U26" s="198">
        <f>[2]NSW!R37</f>
        <v>101000</v>
      </c>
      <c r="V26" s="198">
        <f>[2]NSW!S37</f>
        <v>0</v>
      </c>
      <c r="W26" s="199"/>
      <c r="X26" s="273"/>
      <c r="Y26" s="2"/>
      <c r="Z26" s="2"/>
      <c r="AA26" s="274"/>
      <c r="AB26" s="21"/>
      <c r="AC26" s="21"/>
      <c r="AD26" s="21"/>
      <c r="AE26" s="21"/>
      <c r="AF26" s="70"/>
      <c r="AG26" s="20">
        <f t="shared" si="9"/>
        <v>2000</v>
      </c>
      <c r="AH26" s="21">
        <f t="shared" si="21"/>
        <v>101000</v>
      </c>
      <c r="AI26" s="21">
        <f t="shared" si="22"/>
        <v>0</v>
      </c>
      <c r="AJ26" s="22">
        <f t="shared" si="10"/>
        <v>103000</v>
      </c>
      <c r="AK26" s="29">
        <f>AJ26/[2]Popn!$C$43*1000</f>
        <v>14.330806137411212</v>
      </c>
      <c r="AL26" s="19"/>
      <c r="AM26" s="57"/>
      <c r="AN26" s="2"/>
      <c r="AO26" s="2"/>
      <c r="AP26" s="63"/>
      <c r="AQ26" s="68"/>
      <c r="AR26" s="21">
        <f>L26*'[2]Lfill en &amp; composn'!$D$17</f>
        <v>21952</v>
      </c>
      <c r="AS26" s="35">
        <f t="shared" si="15"/>
        <v>6.1021474701999673E-2</v>
      </c>
      <c r="AT26" s="21">
        <f>AS26*'[2]Lfill en &amp; composn'!$C$64/'[2]Lfill en &amp; composn'!$B$17</f>
        <v>15321.108944061971</v>
      </c>
      <c r="AU26" s="359">
        <f t="shared" si="16"/>
        <v>1231.1605401478371</v>
      </c>
      <c r="AV26" s="301">
        <f t="shared" si="23"/>
        <v>13337.572518268234</v>
      </c>
      <c r="AW26" s="360">
        <f t="shared" si="23"/>
        <v>752.37588564590033</v>
      </c>
      <c r="AX26" s="2"/>
      <c r="AY26" s="306">
        <f t="shared" si="24"/>
        <v>1231.1605401478371</v>
      </c>
      <c r="AZ26" s="301">
        <f t="shared" si="24"/>
        <v>13337.572518268234</v>
      </c>
      <c r="BA26" s="301">
        <f t="shared" si="24"/>
        <v>752.37588564590033</v>
      </c>
      <c r="BB26" s="21">
        <f t="shared" si="19"/>
        <v>15321.108944061973</v>
      </c>
      <c r="BC26" s="24"/>
      <c r="BG26" s="147" t="s">
        <v>5</v>
      </c>
      <c r="BH26" s="52">
        <f>Q27/1000</f>
        <v>213.21148295372046</v>
      </c>
      <c r="BI26" s="52">
        <f>AJ27/1000</f>
        <v>892</v>
      </c>
      <c r="BJ26" s="52">
        <f>BB27/1000</f>
        <v>33.788517046279523</v>
      </c>
      <c r="BK26" s="137">
        <f t="shared" si="25"/>
        <v>0.81280818002307242</v>
      </c>
      <c r="BL26" s="52">
        <f t="shared" si="26"/>
        <v>1139</v>
      </c>
    </row>
    <row r="27" spans="1:67" s="106" customFormat="1">
      <c r="A27" s="699"/>
      <c r="B27" s="107" t="s">
        <v>67</v>
      </c>
      <c r="C27" s="108"/>
      <c r="D27" s="202">
        <f>SUM(D23:D26)</f>
        <v>43500</v>
      </c>
      <c r="E27" s="130">
        <f>SUM(E23:E26)</f>
        <v>192500</v>
      </c>
      <c r="F27" s="130">
        <f>SUM(F23:F26)</f>
        <v>11000</v>
      </c>
      <c r="G27" s="63"/>
      <c r="H27" s="110"/>
      <c r="I27" s="112">
        <f t="shared" si="1"/>
        <v>43500</v>
      </c>
      <c r="J27" s="113">
        <f t="shared" si="2"/>
        <v>192500</v>
      </c>
      <c r="K27" s="113">
        <f t="shared" si="3"/>
        <v>11000</v>
      </c>
      <c r="L27" s="114">
        <f t="shared" si="4"/>
        <v>247000</v>
      </c>
      <c r="M27" s="110"/>
      <c r="N27" s="112">
        <f>SUM(N23:N26)</f>
        <v>37549.390722618788</v>
      </c>
      <c r="O27" s="113">
        <f>SUM(O23:O26)</f>
        <v>166166.84400239348</v>
      </c>
      <c r="P27" s="113">
        <f>SUM(P23:P26)</f>
        <v>9495.2482287081984</v>
      </c>
      <c r="Q27" s="114">
        <f t="shared" si="8"/>
        <v>213211.48295372046</v>
      </c>
      <c r="R27" s="115">
        <f>Q27/[2]Popn!$C$43*1000</f>
        <v>29.664975033783723</v>
      </c>
      <c r="T27" s="202">
        <f>SUM(T23:T26)</f>
        <v>417000</v>
      </c>
      <c r="U27" s="130">
        <f>SUM(U23:U26)</f>
        <v>475000</v>
      </c>
      <c r="V27" s="130">
        <f>SUM(V23:V26)</f>
        <v>0</v>
      </c>
      <c r="W27" s="203"/>
      <c r="X27" s="275"/>
      <c r="Y27" s="110"/>
      <c r="Z27" s="110"/>
      <c r="AA27" s="276"/>
      <c r="AB27" s="113"/>
      <c r="AC27" s="113"/>
      <c r="AD27" s="113"/>
      <c r="AE27" s="113"/>
      <c r="AF27" s="117"/>
      <c r="AG27" s="112">
        <f t="shared" si="9"/>
        <v>417000</v>
      </c>
      <c r="AH27" s="113">
        <f t="shared" si="21"/>
        <v>475000</v>
      </c>
      <c r="AI27" s="113">
        <f t="shared" si="22"/>
        <v>0</v>
      </c>
      <c r="AJ27" s="114">
        <f>SUM(AJ23:AJ26)</f>
        <v>892000</v>
      </c>
      <c r="AK27" s="118">
        <f>SUM(AK23:AK26)</f>
        <v>124.10756383078449</v>
      </c>
      <c r="AL27" s="119"/>
      <c r="AM27" s="109"/>
      <c r="AN27" s="110"/>
      <c r="AO27" s="110"/>
      <c r="AP27" s="111"/>
      <c r="AQ27" s="117"/>
      <c r="AR27" s="113"/>
      <c r="AS27" s="123"/>
      <c r="AT27" s="113"/>
      <c r="AU27" s="120"/>
      <c r="AV27" s="113"/>
      <c r="AW27" s="114"/>
      <c r="AX27" s="110"/>
      <c r="AY27" s="241">
        <f>SUM(AY23:AY26)</f>
        <v>5950.6092773812115</v>
      </c>
      <c r="AZ27" s="242">
        <f>SUM(AZ23:AZ26)</f>
        <v>26333.155997606511</v>
      </c>
      <c r="BA27" s="242">
        <f>SUM(BA23:BA26)</f>
        <v>1504.7517712918007</v>
      </c>
      <c r="BB27" s="114">
        <f>SUM(AY27:BA27)</f>
        <v>33788.517046279521</v>
      </c>
      <c r="BC27" s="118">
        <f>BB27/[2]Popn!$C$43*1000</f>
        <v>4.7011328879693783</v>
      </c>
      <c r="BD27" s="122"/>
      <c r="BG27" s="147" t="s">
        <v>6</v>
      </c>
      <c r="BH27" s="52">
        <f>Q37/1000</f>
        <v>611.5</v>
      </c>
      <c r="BI27" s="52">
        <f>AJ37/1000</f>
        <v>72.5</v>
      </c>
      <c r="BJ27" s="52">
        <f>BB37/1000</f>
        <v>0</v>
      </c>
      <c r="BK27" s="137">
        <f t="shared" si="25"/>
        <v>0.10599415204678363</v>
      </c>
      <c r="BL27" s="52">
        <f t="shared" si="26"/>
        <v>684</v>
      </c>
      <c r="BM27" s="6"/>
      <c r="BN27" s="6"/>
      <c r="BO27" s="6"/>
    </row>
    <row r="28" spans="1:67">
      <c r="A28" s="699"/>
      <c r="B28" s="23" t="s">
        <v>6</v>
      </c>
      <c r="C28" s="17" t="s">
        <v>30</v>
      </c>
      <c r="D28" s="201">
        <f>[2]NSW!C39</f>
        <v>21000</v>
      </c>
      <c r="E28" s="198">
        <f>[2]NSW!D39</f>
        <v>14000</v>
      </c>
      <c r="F28" s="198">
        <f>[2]NSW!E39</f>
        <v>1000</v>
      </c>
      <c r="G28" s="63"/>
      <c r="H28" s="2"/>
      <c r="I28" s="20">
        <f t="shared" si="1"/>
        <v>21000</v>
      </c>
      <c r="J28" s="21">
        <f t="shared" si="2"/>
        <v>14000</v>
      </c>
      <c r="K28" s="21">
        <f t="shared" si="3"/>
        <v>1000</v>
      </c>
      <c r="L28" s="22">
        <f t="shared" si="4"/>
        <v>36000</v>
      </c>
      <c r="M28" s="2"/>
      <c r="N28" s="20">
        <f t="shared" si="5"/>
        <v>21000</v>
      </c>
      <c r="O28" s="21">
        <f t="shared" si="6"/>
        <v>14000</v>
      </c>
      <c r="P28" s="21">
        <f t="shared" si="7"/>
        <v>1000</v>
      </c>
      <c r="Q28" s="22">
        <f t="shared" si="8"/>
        <v>36000</v>
      </c>
      <c r="R28" s="33"/>
      <c r="T28" s="201">
        <f>[2]NSW!Q39</f>
        <v>21000</v>
      </c>
      <c r="U28" s="198">
        <f>[2]NSW!R39</f>
        <v>13500</v>
      </c>
      <c r="V28" s="198">
        <f>[2]NSW!S39</f>
        <v>0</v>
      </c>
      <c r="W28" s="199"/>
      <c r="X28" s="273"/>
      <c r="Y28" s="2"/>
      <c r="Z28" s="2"/>
      <c r="AA28" s="274"/>
      <c r="AB28" s="21"/>
      <c r="AC28" s="21"/>
      <c r="AD28" s="21"/>
      <c r="AE28" s="21"/>
      <c r="AF28" s="70"/>
      <c r="AG28" s="20">
        <f t="shared" si="9"/>
        <v>21000</v>
      </c>
      <c r="AH28" s="21">
        <f t="shared" si="21"/>
        <v>13500</v>
      </c>
      <c r="AI28" s="21">
        <f t="shared" si="22"/>
        <v>0</v>
      </c>
      <c r="AJ28" s="22">
        <f t="shared" si="10"/>
        <v>34500</v>
      </c>
      <c r="AK28" s="29">
        <f>AJ28/[2]Popn!$C$43*1000</f>
        <v>4.8001243858319107</v>
      </c>
      <c r="AL28" s="19"/>
      <c r="AM28" s="57"/>
      <c r="AN28" s="2"/>
      <c r="AO28" s="2"/>
      <c r="AP28" s="63"/>
      <c r="AQ28" s="68"/>
      <c r="AR28" s="21"/>
      <c r="AS28" s="21"/>
      <c r="AT28" s="21"/>
      <c r="AU28" s="240"/>
      <c r="AV28" s="19"/>
      <c r="AW28" s="195"/>
      <c r="AX28" s="2"/>
      <c r="AY28" s="238"/>
      <c r="BB28" s="19"/>
      <c r="BC28" s="24"/>
      <c r="BG28" s="147" t="s">
        <v>8</v>
      </c>
      <c r="BH28" s="52">
        <f>Q38/1000</f>
        <v>115.5</v>
      </c>
      <c r="BI28" s="52">
        <f>AJ38/1000</f>
        <v>299.5</v>
      </c>
      <c r="BJ28" s="52">
        <f>BB38/1000</f>
        <v>0</v>
      </c>
      <c r="BK28" s="137">
        <f t="shared" si="25"/>
        <v>0.72168674698795177</v>
      </c>
      <c r="BL28" s="52">
        <f t="shared" si="26"/>
        <v>415</v>
      </c>
    </row>
    <row r="29" spans="1:67">
      <c r="A29" s="699"/>
      <c r="B29" s="23"/>
      <c r="C29" s="17" t="s">
        <v>31</v>
      </c>
      <c r="D29" s="201">
        <f>[2]NSW!C40</f>
        <v>20000</v>
      </c>
      <c r="E29" s="198">
        <f>[2]NSW!D40</f>
        <v>113500</v>
      </c>
      <c r="F29" s="198">
        <f>[2]NSW!E40</f>
        <v>6500</v>
      </c>
      <c r="G29" s="63"/>
      <c r="H29" s="2"/>
      <c r="I29" s="20">
        <f t="shared" si="1"/>
        <v>20000</v>
      </c>
      <c r="J29" s="21">
        <f t="shared" si="2"/>
        <v>113500</v>
      </c>
      <c r="K29" s="21">
        <f t="shared" si="3"/>
        <v>6500</v>
      </c>
      <c r="L29" s="22">
        <f t="shared" si="4"/>
        <v>140000</v>
      </c>
      <c r="M29" s="2"/>
      <c r="N29" s="20">
        <f t="shared" si="5"/>
        <v>20000</v>
      </c>
      <c r="O29" s="21">
        <f t="shared" si="6"/>
        <v>113500</v>
      </c>
      <c r="P29" s="21">
        <f t="shared" si="7"/>
        <v>6500</v>
      </c>
      <c r="Q29" s="22">
        <f t="shared" si="8"/>
        <v>140000</v>
      </c>
      <c r="R29" s="33"/>
      <c r="T29" s="201">
        <f>[2]NSW!Q40</f>
        <v>20000</v>
      </c>
      <c r="U29" s="198">
        <f>[2]NSW!R40</f>
        <v>12500</v>
      </c>
      <c r="V29" s="198">
        <f>[2]NSW!S40</f>
        <v>0</v>
      </c>
      <c r="W29" s="199"/>
      <c r="X29" s="273"/>
      <c r="Y29" s="2"/>
      <c r="Z29" s="2"/>
      <c r="AA29" s="274"/>
      <c r="AB29" s="21"/>
      <c r="AC29" s="21"/>
      <c r="AD29" s="21"/>
      <c r="AE29" s="21"/>
      <c r="AF29" s="70"/>
      <c r="AG29" s="20">
        <f t="shared" si="9"/>
        <v>20000</v>
      </c>
      <c r="AH29" s="21">
        <f t="shared" si="21"/>
        <v>12500</v>
      </c>
      <c r="AI29" s="21">
        <f t="shared" si="22"/>
        <v>0</v>
      </c>
      <c r="AJ29" s="22">
        <f t="shared" si="10"/>
        <v>32500</v>
      </c>
      <c r="AK29" s="29">
        <f>AJ29/[2]Popn!$C$43*1000</f>
        <v>4.521856305493829</v>
      </c>
      <c r="AL29" s="19"/>
      <c r="AM29" s="57"/>
      <c r="AN29" s="2"/>
      <c r="AO29" s="2"/>
      <c r="AP29" s="63"/>
      <c r="AQ29" s="68"/>
      <c r="AR29" s="21"/>
      <c r="AS29" s="21"/>
      <c r="AT29" s="21"/>
      <c r="AU29" s="240"/>
      <c r="AV29" s="19"/>
      <c r="AW29" s="195"/>
      <c r="AX29" s="2"/>
      <c r="AY29" s="238"/>
      <c r="BB29" s="19"/>
      <c r="BC29" s="24"/>
      <c r="BG29" s="147" t="s">
        <v>7</v>
      </c>
      <c r="BH29" s="52">
        <f>Q41/1000</f>
        <v>176.81479693873237</v>
      </c>
      <c r="BI29" s="52">
        <f>AJ41/1000</f>
        <v>89.5</v>
      </c>
      <c r="BJ29" s="52">
        <f>BB41/1000</f>
        <v>28.685203061267629</v>
      </c>
      <c r="BK29" s="137">
        <f t="shared" si="25"/>
        <v>0.4006278069873479</v>
      </c>
      <c r="BL29" s="52">
        <f t="shared" si="26"/>
        <v>295</v>
      </c>
    </row>
    <row r="30" spans="1:67">
      <c r="A30" s="699"/>
      <c r="B30" s="23"/>
      <c r="C30" s="17" t="s">
        <v>32</v>
      </c>
      <c r="D30" s="201">
        <f>[2]NSW!C41</f>
        <v>3000</v>
      </c>
      <c r="E30" s="198">
        <f>[2]NSW!D41</f>
        <v>21500</v>
      </c>
      <c r="F30" s="198">
        <f>[2]NSW!E41</f>
        <v>1000</v>
      </c>
      <c r="G30" s="63"/>
      <c r="H30" s="2"/>
      <c r="I30" s="20">
        <f t="shared" si="1"/>
        <v>3000</v>
      </c>
      <c r="J30" s="21">
        <f t="shared" si="2"/>
        <v>21500</v>
      </c>
      <c r="K30" s="21">
        <f t="shared" si="3"/>
        <v>1000</v>
      </c>
      <c r="L30" s="22">
        <f t="shared" si="4"/>
        <v>25500</v>
      </c>
      <c r="M30" s="2"/>
      <c r="N30" s="20">
        <f t="shared" si="5"/>
        <v>3000</v>
      </c>
      <c r="O30" s="21">
        <f t="shared" si="6"/>
        <v>21500</v>
      </c>
      <c r="P30" s="21">
        <f t="shared" si="7"/>
        <v>1000</v>
      </c>
      <c r="Q30" s="22">
        <f t="shared" si="8"/>
        <v>25500</v>
      </c>
      <c r="R30" s="33"/>
      <c r="T30" s="201">
        <f>[2]NSW!Q41</f>
        <v>1000</v>
      </c>
      <c r="U30" s="198">
        <f>[2]NSW!R41</f>
        <v>500</v>
      </c>
      <c r="V30" s="198">
        <f>[2]NSW!S41</f>
        <v>0</v>
      </c>
      <c r="W30" s="199"/>
      <c r="X30" s="273"/>
      <c r="Y30" s="2"/>
      <c r="Z30" s="2"/>
      <c r="AA30" s="274"/>
      <c r="AB30" s="21"/>
      <c r="AC30" s="21"/>
      <c r="AD30" s="21"/>
      <c r="AE30" s="21"/>
      <c r="AF30" s="70"/>
      <c r="AG30" s="20">
        <f t="shared" si="9"/>
        <v>1000</v>
      </c>
      <c r="AH30" s="21">
        <f t="shared" si="21"/>
        <v>500</v>
      </c>
      <c r="AI30" s="21">
        <f t="shared" si="22"/>
        <v>0</v>
      </c>
      <c r="AJ30" s="22">
        <f t="shared" si="10"/>
        <v>1500</v>
      </c>
      <c r="AK30" s="29">
        <f>AJ30/[2]Popn!$C$43*1000</f>
        <v>0.20870106025356136</v>
      </c>
      <c r="AL30" s="19"/>
      <c r="AM30" s="57"/>
      <c r="AN30" s="2"/>
      <c r="AO30" s="2"/>
      <c r="AP30" s="63"/>
      <c r="AQ30" s="68"/>
      <c r="AR30" s="21"/>
      <c r="AS30" s="21"/>
      <c r="AT30" s="21"/>
      <c r="AU30" s="240"/>
      <c r="AV30" s="19"/>
      <c r="AW30" s="195"/>
      <c r="AX30" s="2"/>
      <c r="AY30" s="238"/>
      <c r="BB30" s="19"/>
      <c r="BC30" s="24"/>
      <c r="BG30" s="147" t="s">
        <v>11</v>
      </c>
      <c r="BH30" s="52">
        <f>Q46/1000</f>
        <v>987.5</v>
      </c>
      <c r="BI30" s="52">
        <f>AJ46/1000</f>
        <v>0</v>
      </c>
      <c r="BJ30" s="52">
        <f>BB46/1000</f>
        <v>0</v>
      </c>
      <c r="BK30" s="137">
        <f t="shared" si="25"/>
        <v>0</v>
      </c>
      <c r="BL30" s="52">
        <f t="shared" si="26"/>
        <v>987.5</v>
      </c>
    </row>
    <row r="31" spans="1:67" s="90" customFormat="1">
      <c r="A31" s="699"/>
      <c r="B31" s="91" t="s">
        <v>42</v>
      </c>
      <c r="C31" s="92"/>
      <c r="D31" s="292">
        <f>SUM(D28:D30)</f>
        <v>44000</v>
      </c>
      <c r="E31" s="204">
        <f>SUM(E28:E30)</f>
        <v>149000</v>
      </c>
      <c r="F31" s="204">
        <f>SUM(F28:F30)</f>
        <v>8500</v>
      </c>
      <c r="G31" s="63"/>
      <c r="H31" s="94"/>
      <c r="I31" s="96">
        <f t="shared" si="1"/>
        <v>44000</v>
      </c>
      <c r="J31" s="97">
        <f t="shared" si="2"/>
        <v>149000</v>
      </c>
      <c r="K31" s="97">
        <f t="shared" si="3"/>
        <v>8500</v>
      </c>
      <c r="L31" s="98">
        <f t="shared" si="4"/>
        <v>201500</v>
      </c>
      <c r="M31" s="94"/>
      <c r="N31" s="96">
        <f t="shared" si="5"/>
        <v>44000</v>
      </c>
      <c r="O31" s="97">
        <f t="shared" si="6"/>
        <v>149000</v>
      </c>
      <c r="P31" s="97">
        <f t="shared" si="7"/>
        <v>8500</v>
      </c>
      <c r="Q31" s="98">
        <f t="shared" si="8"/>
        <v>201500</v>
      </c>
      <c r="R31" s="99"/>
      <c r="T31" s="292">
        <f>SUM(T28:T30)</f>
        <v>42000</v>
      </c>
      <c r="U31" s="204">
        <f>SUM(U28:U30)</f>
        <v>26500</v>
      </c>
      <c r="V31" s="204">
        <f>SUM(V28:V30)</f>
        <v>0</v>
      </c>
      <c r="W31" s="211"/>
      <c r="X31" s="279"/>
      <c r="Y31" s="94"/>
      <c r="Z31" s="94"/>
      <c r="AA31" s="280"/>
      <c r="AB31" s="97"/>
      <c r="AC31" s="97"/>
      <c r="AD31" s="21"/>
      <c r="AE31" s="97"/>
      <c r="AF31" s="101"/>
      <c r="AG31" s="96">
        <f t="shared" si="9"/>
        <v>42000</v>
      </c>
      <c r="AH31" s="97">
        <f t="shared" si="21"/>
        <v>26500</v>
      </c>
      <c r="AI31" s="97">
        <f t="shared" si="22"/>
        <v>0</v>
      </c>
      <c r="AJ31" s="98">
        <f>SUM(AJ28:AJ30)</f>
        <v>68500</v>
      </c>
      <c r="AK31" s="102">
        <f>SUM(AK28:AK30)</f>
        <v>9.5306817515793014</v>
      </c>
      <c r="AL31" s="103"/>
      <c r="AM31" s="93"/>
      <c r="AN31" s="94"/>
      <c r="AO31" s="94"/>
      <c r="AP31" s="95"/>
      <c r="AQ31" s="100"/>
      <c r="AR31" s="97"/>
      <c r="AS31" s="128"/>
      <c r="AT31" s="128"/>
      <c r="AU31" s="104"/>
      <c r="AV31" s="97"/>
      <c r="AW31" s="98"/>
      <c r="AX31" s="94"/>
      <c r="AY31" s="239"/>
      <c r="BB31" s="97"/>
      <c r="BC31" s="105"/>
      <c r="BG31" s="147" t="s">
        <v>1</v>
      </c>
      <c r="BH31" s="52">
        <f>Q47/1000</f>
        <v>1628.6425628949589</v>
      </c>
      <c r="BI31" s="52">
        <f>AJ47/1000</f>
        <v>2876.5989823356717</v>
      </c>
      <c r="BJ31" s="52">
        <f>BB47/1000</f>
        <v>0</v>
      </c>
      <c r="BK31" s="137">
        <f t="shared" si="25"/>
        <v>0.63850050068478936</v>
      </c>
      <c r="BL31" s="52">
        <f t="shared" si="26"/>
        <v>4505.2415452306304</v>
      </c>
      <c r="BM31" s="6"/>
      <c r="BN31" s="6"/>
      <c r="BO31" s="6"/>
    </row>
    <row r="32" spans="1:67">
      <c r="A32" s="699"/>
      <c r="B32" s="23"/>
      <c r="C32" s="17" t="s">
        <v>33</v>
      </c>
      <c r="D32" s="57"/>
      <c r="E32" s="2"/>
      <c r="F32" s="2"/>
      <c r="G32" s="63"/>
      <c r="H32" s="2"/>
      <c r="I32" s="20"/>
      <c r="J32" s="21"/>
      <c r="K32" s="21"/>
      <c r="L32" s="22"/>
      <c r="M32" s="2"/>
      <c r="N32" s="20"/>
      <c r="O32" s="21"/>
      <c r="P32" s="21"/>
      <c r="Q32" s="22"/>
      <c r="R32" s="33"/>
      <c r="T32" s="201"/>
      <c r="U32" s="198"/>
      <c r="V32" s="198"/>
      <c r="W32" s="199"/>
      <c r="X32" s="273"/>
      <c r="Y32" s="2"/>
      <c r="Z32" s="2"/>
      <c r="AA32" s="274"/>
      <c r="AB32" s="21"/>
      <c r="AC32" s="21"/>
      <c r="AD32" s="21"/>
      <c r="AE32" s="21"/>
      <c r="AF32" s="70"/>
      <c r="AG32" s="20"/>
      <c r="AH32" s="21"/>
      <c r="AI32" s="21"/>
      <c r="AJ32" s="22"/>
      <c r="AK32" s="29"/>
      <c r="AL32" s="19"/>
      <c r="AM32" s="57"/>
      <c r="AN32" s="2"/>
      <c r="AO32" s="2"/>
      <c r="AP32" s="63"/>
      <c r="AQ32" s="68"/>
      <c r="AR32" s="21"/>
      <c r="AS32" s="21"/>
      <c r="AT32" s="21"/>
      <c r="AU32" s="240"/>
      <c r="AV32" s="19"/>
      <c r="AW32" s="195"/>
      <c r="AX32" s="2"/>
      <c r="AY32" s="238"/>
      <c r="BB32" s="19"/>
      <c r="BC32" s="24"/>
      <c r="BG32" s="142"/>
    </row>
    <row r="33" spans="1:81">
      <c r="A33" s="699"/>
      <c r="B33" s="23"/>
      <c r="C33" s="17" t="s">
        <v>34</v>
      </c>
      <c r="D33" s="57"/>
      <c r="E33" s="2"/>
      <c r="F33" s="2"/>
      <c r="G33" s="63"/>
      <c r="H33" s="2"/>
      <c r="I33" s="20"/>
      <c r="J33" s="21"/>
      <c r="K33" s="21"/>
      <c r="L33" s="22"/>
      <c r="M33" s="2"/>
      <c r="N33" s="20"/>
      <c r="O33" s="21"/>
      <c r="P33" s="21"/>
      <c r="Q33" s="22"/>
      <c r="R33" s="33"/>
      <c r="T33" s="201"/>
      <c r="U33" s="198"/>
      <c r="V33" s="198"/>
      <c r="W33" s="199"/>
      <c r="X33" s="273"/>
      <c r="Y33" s="2"/>
      <c r="Z33" s="2"/>
      <c r="AA33" s="274"/>
      <c r="AB33" s="21"/>
      <c r="AC33" s="21"/>
      <c r="AD33" s="21"/>
      <c r="AE33" s="21"/>
      <c r="AF33" s="70"/>
      <c r="AG33" s="20"/>
      <c r="AH33" s="21"/>
      <c r="AI33" s="21"/>
      <c r="AJ33" s="22"/>
      <c r="AK33" s="29"/>
      <c r="AL33" s="19"/>
      <c r="AM33" s="57"/>
      <c r="AN33" s="2"/>
      <c r="AO33" s="2"/>
      <c r="AP33" s="63"/>
      <c r="AQ33" s="68"/>
      <c r="AR33" s="21"/>
      <c r="AS33" s="21"/>
      <c r="AT33" s="21"/>
      <c r="AU33" s="240"/>
      <c r="AV33" s="19"/>
      <c r="AW33" s="195"/>
      <c r="AX33" s="2"/>
      <c r="AY33" s="238"/>
      <c r="BB33" s="19"/>
      <c r="BC33" s="24"/>
    </row>
    <row r="34" spans="1:81">
      <c r="A34" s="699"/>
      <c r="B34" s="23"/>
      <c r="C34" s="17" t="s">
        <v>35</v>
      </c>
      <c r="D34" s="57"/>
      <c r="E34" s="2"/>
      <c r="F34" s="2"/>
      <c r="G34" s="63"/>
      <c r="H34" s="2"/>
      <c r="I34" s="20"/>
      <c r="J34" s="21"/>
      <c r="K34" s="21"/>
      <c r="L34" s="22"/>
      <c r="M34" s="2"/>
      <c r="N34" s="20"/>
      <c r="O34" s="21"/>
      <c r="P34" s="21"/>
      <c r="Q34" s="22"/>
      <c r="R34" s="33"/>
      <c r="T34" s="201"/>
      <c r="U34" s="198"/>
      <c r="V34" s="198"/>
      <c r="W34" s="199"/>
      <c r="X34" s="273"/>
      <c r="Y34" s="2"/>
      <c r="Z34" s="2"/>
      <c r="AA34" s="274"/>
      <c r="AB34" s="21"/>
      <c r="AC34" s="21"/>
      <c r="AD34" s="21"/>
      <c r="AE34" s="21"/>
      <c r="AF34" s="70"/>
      <c r="AG34" s="20"/>
      <c r="AH34" s="21"/>
      <c r="AI34" s="21"/>
      <c r="AJ34" s="22"/>
      <c r="AK34" s="29"/>
      <c r="AL34" s="19"/>
      <c r="AM34" s="57"/>
      <c r="AN34" s="2"/>
      <c r="AO34" s="2"/>
      <c r="AP34" s="63"/>
      <c r="AQ34" s="68"/>
      <c r="AR34" s="21"/>
      <c r="AS34" s="21"/>
      <c r="AT34" s="21"/>
      <c r="AU34" s="240"/>
      <c r="AV34" s="19"/>
      <c r="AW34" s="195"/>
      <c r="AX34" s="2"/>
      <c r="AY34" s="238"/>
      <c r="BB34" s="19"/>
      <c r="BC34" s="24"/>
    </row>
    <row r="35" spans="1:81">
      <c r="A35" s="699"/>
      <c r="B35" s="23"/>
      <c r="C35" s="17" t="s">
        <v>36</v>
      </c>
      <c r="D35" s="201">
        <f>[2]NSW!C45</f>
        <v>179500</v>
      </c>
      <c r="E35" s="198">
        <f>[2]NSW!D45</f>
        <v>218500</v>
      </c>
      <c r="F35" s="198">
        <f>[2]NSW!E45</f>
        <v>12000</v>
      </c>
      <c r="G35" s="63"/>
      <c r="H35" s="2"/>
      <c r="I35" s="96">
        <f t="shared" si="1"/>
        <v>179500</v>
      </c>
      <c r="J35" s="97">
        <f t="shared" si="2"/>
        <v>218500</v>
      </c>
      <c r="K35" s="97">
        <f t="shared" si="3"/>
        <v>12000</v>
      </c>
      <c r="L35" s="98">
        <f t="shared" si="4"/>
        <v>410000</v>
      </c>
      <c r="M35" s="2"/>
      <c r="N35" s="96">
        <f t="shared" si="5"/>
        <v>179500</v>
      </c>
      <c r="O35" s="97">
        <f t="shared" si="6"/>
        <v>218500</v>
      </c>
      <c r="P35" s="97">
        <f t="shared" si="7"/>
        <v>12000</v>
      </c>
      <c r="Q35" s="98">
        <f t="shared" si="8"/>
        <v>410000</v>
      </c>
      <c r="R35" s="33"/>
      <c r="T35" s="201">
        <f>[2]NSW!Q45</f>
        <v>2500</v>
      </c>
      <c r="U35" s="198">
        <f>[2]NSW!R45</f>
        <v>1500</v>
      </c>
      <c r="V35" s="198">
        <f>[2]NSW!S45</f>
        <v>0</v>
      </c>
      <c r="W35" s="199"/>
      <c r="X35" s="273"/>
      <c r="Y35" s="2"/>
      <c r="Z35" s="2"/>
      <c r="AA35" s="274"/>
      <c r="AB35" s="21"/>
      <c r="AC35" s="21"/>
      <c r="AD35" s="21"/>
      <c r="AE35" s="21"/>
      <c r="AF35" s="70"/>
      <c r="AG35" s="20">
        <f t="shared" si="9"/>
        <v>2500</v>
      </c>
      <c r="AH35" s="21">
        <f t="shared" si="21"/>
        <v>1500</v>
      </c>
      <c r="AI35" s="21">
        <f t="shared" si="22"/>
        <v>0</v>
      </c>
      <c r="AJ35" s="22">
        <f t="shared" si="10"/>
        <v>4000</v>
      </c>
      <c r="AK35" s="29">
        <f>AJ35/[2]Popn!$C$43*1000</f>
        <v>0.55653616067616363</v>
      </c>
      <c r="AL35" s="19"/>
      <c r="AM35" s="57"/>
      <c r="AN35" s="2"/>
      <c r="AO35" s="2"/>
      <c r="AP35" s="63"/>
      <c r="AQ35" s="68"/>
      <c r="AR35" s="21"/>
      <c r="AS35" s="21"/>
      <c r="AT35" s="21"/>
      <c r="AU35" s="240"/>
      <c r="AV35" s="19"/>
      <c r="AW35" s="195"/>
      <c r="AX35" s="2"/>
      <c r="AY35" s="238"/>
      <c r="BB35" s="19"/>
      <c r="BC35" s="24"/>
    </row>
    <row r="36" spans="1:81" s="90" customFormat="1">
      <c r="A36" s="699"/>
      <c r="B36" s="91" t="s">
        <v>43</v>
      </c>
      <c r="C36" s="92"/>
      <c r="D36" s="292">
        <f>D35</f>
        <v>179500</v>
      </c>
      <c r="E36" s="204">
        <f>E35</f>
        <v>218500</v>
      </c>
      <c r="F36" s="204">
        <f>F35</f>
        <v>12000</v>
      </c>
      <c r="G36" s="63"/>
      <c r="H36" s="94"/>
      <c r="I36" s="20">
        <f t="shared" si="1"/>
        <v>179500</v>
      </c>
      <c r="J36" s="21">
        <f t="shared" si="2"/>
        <v>218500</v>
      </c>
      <c r="K36" s="21">
        <f t="shared" si="3"/>
        <v>12000</v>
      </c>
      <c r="L36" s="22">
        <f t="shared" si="4"/>
        <v>410000</v>
      </c>
      <c r="M36" s="94"/>
      <c r="N36" s="20">
        <f t="shared" si="5"/>
        <v>179500</v>
      </c>
      <c r="O36" s="21">
        <f t="shared" si="6"/>
        <v>218500</v>
      </c>
      <c r="P36" s="21">
        <f t="shared" si="7"/>
        <v>12000</v>
      </c>
      <c r="Q36" s="22">
        <f t="shared" si="8"/>
        <v>410000</v>
      </c>
      <c r="R36" s="99"/>
      <c r="T36" s="292">
        <f>SUM(T33:T35)</f>
        <v>2500</v>
      </c>
      <c r="U36" s="204">
        <f>SUM(U33:U35)</f>
        <v>1500</v>
      </c>
      <c r="V36" s="204">
        <f>SUM(V33:V35)</f>
        <v>0</v>
      </c>
      <c r="W36" s="211"/>
      <c r="X36" s="279"/>
      <c r="Y36" s="94"/>
      <c r="Z36" s="94"/>
      <c r="AA36" s="280"/>
      <c r="AB36" s="97"/>
      <c r="AC36" s="97"/>
      <c r="AD36" s="21"/>
      <c r="AE36" s="97"/>
      <c r="AF36" s="101"/>
      <c r="AG36" s="96">
        <f t="shared" si="9"/>
        <v>2500</v>
      </c>
      <c r="AH36" s="97">
        <f t="shared" si="21"/>
        <v>1500</v>
      </c>
      <c r="AI36" s="97">
        <f t="shared" si="22"/>
        <v>0</v>
      </c>
      <c r="AJ36" s="98">
        <f>SUM(AJ32:AJ35)</f>
        <v>4000</v>
      </c>
      <c r="AK36" s="102">
        <f>SUM(AK32:AK35)</f>
        <v>0.55653616067616363</v>
      </c>
      <c r="AL36" s="103"/>
      <c r="AM36" s="93"/>
      <c r="AN36" s="94"/>
      <c r="AO36" s="94"/>
      <c r="AP36" s="95"/>
      <c r="AQ36" s="100"/>
      <c r="AR36" s="97"/>
      <c r="AS36" s="97"/>
      <c r="AT36" s="97"/>
      <c r="AU36" s="104"/>
      <c r="AV36" s="97"/>
      <c r="AW36" s="98"/>
      <c r="AX36" s="94"/>
      <c r="AY36" s="239"/>
      <c r="BB36" s="97"/>
      <c r="BC36" s="105"/>
      <c r="BG36" s="143"/>
    </row>
    <row r="37" spans="1:81" s="106" customFormat="1">
      <c r="A37" s="699"/>
      <c r="B37" s="107" t="s">
        <v>67</v>
      </c>
      <c r="C37" s="108"/>
      <c r="D37" s="202">
        <f>SUM(D31,D36)</f>
        <v>223500</v>
      </c>
      <c r="E37" s="130">
        <f>SUM(E31,E36)</f>
        <v>367500</v>
      </c>
      <c r="F37" s="130">
        <f>SUM(F31,F36)</f>
        <v>20500</v>
      </c>
      <c r="G37" s="63"/>
      <c r="H37" s="110"/>
      <c r="I37" s="112">
        <f t="shared" si="1"/>
        <v>223500</v>
      </c>
      <c r="J37" s="113">
        <f t="shared" si="2"/>
        <v>367500</v>
      </c>
      <c r="K37" s="113">
        <f t="shared" si="3"/>
        <v>20500</v>
      </c>
      <c r="L37" s="114">
        <f t="shared" si="4"/>
        <v>611500</v>
      </c>
      <c r="M37" s="110"/>
      <c r="N37" s="112">
        <f t="shared" si="5"/>
        <v>223500</v>
      </c>
      <c r="O37" s="113">
        <f t="shared" si="6"/>
        <v>367500</v>
      </c>
      <c r="P37" s="113">
        <f t="shared" si="7"/>
        <v>20500</v>
      </c>
      <c r="Q37" s="114">
        <f t="shared" si="8"/>
        <v>611500</v>
      </c>
      <c r="R37" s="115">
        <f>Q37/[2]Popn!$C$43*1000</f>
        <v>85.080465563368506</v>
      </c>
      <c r="T37" s="202">
        <f>SUM(T31,T36)</f>
        <v>44500</v>
      </c>
      <c r="U37" s="130">
        <f>SUM(U31,U36)</f>
        <v>28000</v>
      </c>
      <c r="V37" s="130">
        <f>SUM(V31,V36)</f>
        <v>0</v>
      </c>
      <c r="W37" s="203"/>
      <c r="X37" s="130">
        <f>[2]PACIA!$C$25*[2]PACIA!D25</f>
        <v>38239.277999999998</v>
      </c>
      <c r="Y37" s="130">
        <f>[2]PACIA!$C$25*[2]PACIA!E25</f>
        <v>34105.302000000003</v>
      </c>
      <c r="Z37" s="130">
        <f>[2]PACIA!$C$25*[2]PACIA!F25</f>
        <v>1476.42</v>
      </c>
      <c r="AA37" s="276"/>
      <c r="AB37" s="242"/>
      <c r="AC37" s="242"/>
      <c r="AD37" s="242"/>
      <c r="AE37" s="113"/>
      <c r="AF37" s="355" t="s">
        <v>115</v>
      </c>
      <c r="AG37" s="112">
        <f t="shared" si="9"/>
        <v>44500</v>
      </c>
      <c r="AH37" s="113">
        <f t="shared" si="21"/>
        <v>28000</v>
      </c>
      <c r="AI37" s="113">
        <f t="shared" si="22"/>
        <v>0</v>
      </c>
      <c r="AJ37" s="114">
        <f>AJ31+AJ36</f>
        <v>72500</v>
      </c>
      <c r="AK37" s="115">
        <f>AK31+AK36</f>
        <v>10.087217912255465</v>
      </c>
      <c r="AL37" s="119"/>
      <c r="AM37" s="109"/>
      <c r="AN37" s="110"/>
      <c r="AO37" s="110"/>
      <c r="AP37" s="111"/>
      <c r="AQ37" s="116"/>
      <c r="AR37" s="113"/>
      <c r="AS37" s="113"/>
      <c r="AT37" s="113"/>
      <c r="AU37" s="120"/>
      <c r="AV37" s="113"/>
      <c r="AW37" s="114"/>
      <c r="AX37" s="110"/>
      <c r="AY37" s="237"/>
      <c r="BB37" s="113"/>
      <c r="BC37" s="118"/>
      <c r="BG37" s="144"/>
    </row>
    <row r="38" spans="1:81" s="106" customFormat="1">
      <c r="A38" s="699"/>
      <c r="B38" s="37" t="s">
        <v>8</v>
      </c>
      <c r="C38" s="129" t="s">
        <v>8</v>
      </c>
      <c r="D38" s="202">
        <f>[2]NSW!C47</f>
        <v>76000</v>
      </c>
      <c r="E38" s="130">
        <f>[2]NSW!D47</f>
        <v>36500</v>
      </c>
      <c r="F38" s="130">
        <f>[2]NSW!E47</f>
        <v>3000</v>
      </c>
      <c r="G38" s="111"/>
      <c r="H38" s="110"/>
      <c r="I38" s="112">
        <f t="shared" si="1"/>
        <v>76000</v>
      </c>
      <c r="J38" s="113">
        <f t="shared" si="2"/>
        <v>36500</v>
      </c>
      <c r="K38" s="113">
        <f t="shared" si="3"/>
        <v>3000</v>
      </c>
      <c r="L38" s="114">
        <f t="shared" si="4"/>
        <v>115500</v>
      </c>
      <c r="M38" s="110"/>
      <c r="N38" s="112">
        <f t="shared" si="5"/>
        <v>76000</v>
      </c>
      <c r="O38" s="113">
        <f t="shared" si="6"/>
        <v>36500</v>
      </c>
      <c r="P38" s="113">
        <f t="shared" si="7"/>
        <v>3000</v>
      </c>
      <c r="Q38" s="114">
        <f t="shared" si="8"/>
        <v>115500</v>
      </c>
      <c r="R38" s="115">
        <f>Q38/[2]Popn!$C$43*1000</f>
        <v>16.069981639524226</v>
      </c>
      <c r="T38" s="202">
        <f>[2]NSW!Q47</f>
        <v>195000</v>
      </c>
      <c r="U38" s="130">
        <f>[2]NSW!R47</f>
        <v>94500</v>
      </c>
      <c r="V38" s="130">
        <f>[2]NSW!S47</f>
        <v>10000</v>
      </c>
      <c r="W38" s="199"/>
      <c r="X38" s="275"/>
      <c r="Y38" s="110"/>
      <c r="Z38" s="110"/>
      <c r="AA38" s="276"/>
      <c r="AB38" s="113"/>
      <c r="AC38" s="21"/>
      <c r="AD38" s="113"/>
      <c r="AE38" s="113"/>
      <c r="AF38" s="117"/>
      <c r="AG38" s="112">
        <f t="shared" si="9"/>
        <v>195000</v>
      </c>
      <c r="AH38" s="113">
        <f t="shared" si="21"/>
        <v>94500</v>
      </c>
      <c r="AI38" s="113">
        <f t="shared" si="22"/>
        <v>10000</v>
      </c>
      <c r="AJ38" s="114">
        <f>SUM(AG38:AI38)</f>
        <v>299500</v>
      </c>
      <c r="AK38" s="118">
        <f>AJ38/[2]Popn!$C$43*1000</f>
        <v>41.670645030627746</v>
      </c>
      <c r="AL38" s="119"/>
      <c r="AM38" s="109"/>
      <c r="AN38" s="110"/>
      <c r="AO38" s="110"/>
      <c r="AP38" s="111"/>
      <c r="AQ38" s="116"/>
      <c r="AR38" s="113"/>
      <c r="AS38" s="113"/>
      <c r="AT38" s="113"/>
      <c r="AU38" s="120"/>
      <c r="AV38" s="113"/>
      <c r="AW38" s="114"/>
      <c r="AX38" s="110"/>
      <c r="AY38" s="237"/>
      <c r="BB38" s="113"/>
      <c r="BC38" s="121"/>
      <c r="BG38" s="144"/>
    </row>
    <row r="39" spans="1:81">
      <c r="A39" s="699"/>
      <c r="B39" s="23" t="s">
        <v>7</v>
      </c>
      <c r="C39" s="17" t="s">
        <v>9</v>
      </c>
      <c r="D39" s="201">
        <f>[2]NSW!C48</f>
        <v>85000</v>
      </c>
      <c r="E39" s="198">
        <f>[2]NSW!D48</f>
        <v>78500</v>
      </c>
      <c r="F39" s="198">
        <f>[2]NSW!E48</f>
        <v>9500</v>
      </c>
      <c r="G39" s="63"/>
      <c r="H39" s="2"/>
      <c r="I39" s="20">
        <f t="shared" si="1"/>
        <v>85000</v>
      </c>
      <c r="J39" s="21">
        <f t="shared" si="2"/>
        <v>78500</v>
      </c>
      <c r="K39" s="21">
        <f t="shared" si="3"/>
        <v>9500</v>
      </c>
      <c r="L39" s="22">
        <f t="shared" si="4"/>
        <v>173000</v>
      </c>
      <c r="M39" s="2"/>
      <c r="N39" s="20">
        <f t="shared" ref="N39:P40" si="27">D39-AY39</f>
        <v>73135.074159573007</v>
      </c>
      <c r="O39" s="21">
        <f t="shared" si="27"/>
        <v>67542.392017958598</v>
      </c>
      <c r="P39" s="21">
        <f t="shared" si="27"/>
        <v>8173.920053128747</v>
      </c>
      <c r="Q39" s="22">
        <f t="shared" si="8"/>
        <v>148851.38623066034</v>
      </c>
      <c r="R39" s="34"/>
      <c r="T39" s="201">
        <f>[2]NSW!Q48</f>
        <v>16500</v>
      </c>
      <c r="U39" s="198">
        <f>[2]NSW!R48</f>
        <v>21500</v>
      </c>
      <c r="V39" s="198">
        <f>[2]NSW!S48</f>
        <v>0</v>
      </c>
      <c r="W39" s="199"/>
      <c r="X39" s="273"/>
      <c r="Y39" s="2"/>
      <c r="Z39" s="2"/>
      <c r="AA39" s="274"/>
      <c r="AB39" s="21"/>
      <c r="AC39" s="21"/>
      <c r="AD39" s="21"/>
      <c r="AE39" s="21"/>
      <c r="AF39" s="70"/>
      <c r="AG39" s="20">
        <f t="shared" si="9"/>
        <v>16500</v>
      </c>
      <c r="AH39" s="21">
        <f t="shared" si="21"/>
        <v>21500</v>
      </c>
      <c r="AI39" s="21">
        <f t="shared" si="22"/>
        <v>0</v>
      </c>
      <c r="AJ39" s="22">
        <f>SUM(AG39:AI39)</f>
        <v>38000</v>
      </c>
      <c r="AK39" s="29">
        <f>AJ39/[2]Popn!$C$43*1000</f>
        <v>5.287093526423555</v>
      </c>
      <c r="AL39" s="19"/>
      <c r="AM39" s="57"/>
      <c r="AN39" s="2"/>
      <c r="AO39" s="2"/>
      <c r="AP39" s="63"/>
      <c r="AQ39" s="68"/>
      <c r="AR39" s="21">
        <f>L39*'[2]Lfill en &amp; composn'!$D$25</f>
        <v>27247.5</v>
      </c>
      <c r="AS39" s="35">
        <f>AR39/SUM($AR$7:$AR$49)</f>
        <v>7.5741737971152329E-2</v>
      </c>
      <c r="AT39" s="21">
        <f>AS39*'[2]Lfill en &amp; composn'!$C$64/'[2]Lfill en &amp; composn'!$B$25</f>
        <v>24148.613769339656</v>
      </c>
      <c r="AU39" s="359">
        <f t="shared" ref="AU39:AW40" si="28">$AT39*I39/SUM($I39:$K39)</f>
        <v>11864.925840426999</v>
      </c>
      <c r="AV39" s="301">
        <f t="shared" si="28"/>
        <v>10957.607982041405</v>
      </c>
      <c r="AW39" s="360">
        <f t="shared" si="28"/>
        <v>1326.0799468712528</v>
      </c>
      <c r="AX39" s="2"/>
      <c r="AY39" s="306">
        <f t="shared" ref="AY39:BA40" si="29">AU39</f>
        <v>11864.925840426999</v>
      </c>
      <c r="AZ39" s="301">
        <f t="shared" si="29"/>
        <v>10957.607982041405</v>
      </c>
      <c r="BA39" s="301">
        <f t="shared" si="29"/>
        <v>1326.0799468712528</v>
      </c>
      <c r="BB39" s="21">
        <f>SUM(AY39:BA39)</f>
        <v>24148.613769339656</v>
      </c>
      <c r="BC39" s="361">
        <f>BB39/[2]Popn!$C$43*1000</f>
        <v>3.3598941982099579</v>
      </c>
    </row>
    <row r="40" spans="1:81">
      <c r="A40" s="699"/>
      <c r="B40" s="23"/>
      <c r="C40" s="17" t="s">
        <v>10</v>
      </c>
      <c r="D40" s="201">
        <f>[2]NSW!C49</f>
        <v>9000</v>
      </c>
      <c r="E40" s="198">
        <f>[2]NSW!D49</f>
        <v>23500</v>
      </c>
      <c r="F40" s="198">
        <f>[2]NSW!E49</f>
        <v>0</v>
      </c>
      <c r="G40" s="63"/>
      <c r="H40" s="2"/>
      <c r="I40" s="20">
        <f t="shared" si="1"/>
        <v>9000</v>
      </c>
      <c r="J40" s="21">
        <f t="shared" si="2"/>
        <v>23500</v>
      </c>
      <c r="K40" s="21">
        <f t="shared" si="3"/>
        <v>0</v>
      </c>
      <c r="L40" s="22">
        <f t="shared" si="4"/>
        <v>32500</v>
      </c>
      <c r="M40" s="2"/>
      <c r="N40" s="20">
        <f t="shared" si="27"/>
        <v>7743.7137345430237</v>
      </c>
      <c r="O40" s="21">
        <f t="shared" si="27"/>
        <v>20219.696973529004</v>
      </c>
      <c r="P40" s="21">
        <f t="shared" si="27"/>
        <v>0</v>
      </c>
      <c r="Q40" s="22">
        <f t="shared" si="8"/>
        <v>27963.410708072028</v>
      </c>
      <c r="R40" s="33"/>
      <c r="T40" s="201">
        <f>[2]NSW!Q49</f>
        <v>500</v>
      </c>
      <c r="U40" s="198">
        <f>[2]NSW!R49</f>
        <v>51000</v>
      </c>
      <c r="V40" s="198">
        <f>[2]NSW!S49</f>
        <v>0</v>
      </c>
      <c r="W40" s="199"/>
      <c r="X40" s="273"/>
      <c r="Y40" s="2"/>
      <c r="Z40" s="2"/>
      <c r="AA40" s="274"/>
      <c r="AB40" s="21"/>
      <c r="AC40" s="21"/>
      <c r="AD40" s="21"/>
      <c r="AE40" s="21"/>
      <c r="AF40" s="70"/>
      <c r="AG40" s="20">
        <f t="shared" si="9"/>
        <v>500</v>
      </c>
      <c r="AH40" s="21">
        <f t="shared" si="21"/>
        <v>51000</v>
      </c>
      <c r="AI40" s="21">
        <f t="shared" si="22"/>
        <v>0</v>
      </c>
      <c r="AJ40" s="22">
        <f>SUM(AG40:AI40)</f>
        <v>51500</v>
      </c>
      <c r="AK40" s="29">
        <f>AJ40/[2]Popn!$C$43*1000</f>
        <v>7.1654030687056061</v>
      </c>
      <c r="AL40" s="19"/>
      <c r="AM40" s="57"/>
      <c r="AN40" s="2"/>
      <c r="AO40" s="2"/>
      <c r="AP40" s="63"/>
      <c r="AQ40" s="68"/>
      <c r="AR40" s="21">
        <f>L40*'[2]Lfill en &amp; composn'!$D$25</f>
        <v>5118.75</v>
      </c>
      <c r="AS40" s="35">
        <f>AR40/SUM($AR$7:$AR$49)</f>
        <v>1.4228939214233819E-2</v>
      </c>
      <c r="AT40" s="21">
        <f>AS40*'[2]Lfill en &amp; composn'!$C$64/'[2]Lfill en &amp; composn'!$B$25</f>
        <v>4536.5892919279704</v>
      </c>
      <c r="AU40" s="359">
        <f t="shared" si="28"/>
        <v>1256.2862654569763</v>
      </c>
      <c r="AV40" s="301">
        <f t="shared" si="28"/>
        <v>3280.3030264709942</v>
      </c>
      <c r="AW40" s="360">
        <f t="shared" si="28"/>
        <v>0</v>
      </c>
      <c r="AX40" s="2"/>
      <c r="AY40" s="306">
        <f t="shared" si="29"/>
        <v>1256.2862654569763</v>
      </c>
      <c r="AZ40" s="301">
        <f t="shared" si="29"/>
        <v>3280.3030264709942</v>
      </c>
      <c r="BA40" s="301">
        <f t="shared" si="29"/>
        <v>0</v>
      </c>
      <c r="BB40" s="21">
        <f>SUM(AY40:BA40)</f>
        <v>4536.5892919279704</v>
      </c>
      <c r="BC40" s="361">
        <f>BB40/[2]Popn!$C$43*1000</f>
        <v>0.63119399677354715</v>
      </c>
    </row>
    <row r="41" spans="1:81" s="106" customFormat="1" ht="15.75">
      <c r="A41" s="699"/>
      <c r="B41" s="107" t="s">
        <v>67</v>
      </c>
      <c r="C41" s="108"/>
      <c r="D41" s="202">
        <f>SUM(D39:D40)</f>
        <v>94000</v>
      </c>
      <c r="E41" s="130">
        <f>SUM(E39:E40)</f>
        <v>102000</v>
      </c>
      <c r="F41" s="130">
        <f>SUM(F39:F40)</f>
        <v>9500</v>
      </c>
      <c r="G41" s="63"/>
      <c r="H41" s="110"/>
      <c r="I41" s="112">
        <f t="shared" si="1"/>
        <v>94000</v>
      </c>
      <c r="J41" s="113">
        <f t="shared" si="2"/>
        <v>102000</v>
      </c>
      <c r="K41" s="113">
        <f t="shared" si="3"/>
        <v>9500</v>
      </c>
      <c r="L41" s="114">
        <f t="shared" si="4"/>
        <v>205500</v>
      </c>
      <c r="M41" s="110"/>
      <c r="N41" s="112">
        <f>SUM(N39:N40)</f>
        <v>80878.787894116031</v>
      </c>
      <c r="O41" s="113">
        <f>SUM(O39:O40)</f>
        <v>87762.088991487602</v>
      </c>
      <c r="P41" s="113">
        <f>SUM(P39:P40)</f>
        <v>8173.920053128747</v>
      </c>
      <c r="Q41" s="114">
        <f t="shared" si="8"/>
        <v>176814.79693873238</v>
      </c>
      <c r="R41" s="115">
        <f>Q41/[2]Popn!$C$43*1000</f>
        <v>24.600957059754403</v>
      </c>
      <c r="T41" s="202">
        <f>SUM(T39:T40)</f>
        <v>17000</v>
      </c>
      <c r="U41" s="130">
        <f>SUM(U39:U40)</f>
        <v>72500</v>
      </c>
      <c r="V41" s="130">
        <f>SUM(V39:V40)</f>
        <v>0</v>
      </c>
      <c r="W41" s="203"/>
      <c r="X41" s="275"/>
      <c r="Y41" s="110"/>
      <c r="Z41" s="110"/>
      <c r="AA41" s="276"/>
      <c r="AB41" s="113"/>
      <c r="AC41" s="113"/>
      <c r="AD41" s="113"/>
      <c r="AE41" s="113"/>
      <c r="AF41" s="117"/>
      <c r="AG41" s="112">
        <f t="shared" si="9"/>
        <v>17000</v>
      </c>
      <c r="AH41" s="113">
        <f t="shared" si="21"/>
        <v>72500</v>
      </c>
      <c r="AI41" s="113">
        <f t="shared" si="22"/>
        <v>0</v>
      </c>
      <c r="AJ41" s="114">
        <f>SUM(AG41:AI41)</f>
        <v>89500</v>
      </c>
      <c r="AK41" s="118">
        <f>SUM(AK39:AK40)</f>
        <v>12.452496595129162</v>
      </c>
      <c r="AL41" s="119"/>
      <c r="AM41" s="109"/>
      <c r="AN41" s="110"/>
      <c r="AO41" s="110"/>
      <c r="AP41" s="111"/>
      <c r="AQ41" s="116"/>
      <c r="AR41" s="113"/>
      <c r="AS41" s="113"/>
      <c r="AT41" s="113"/>
      <c r="AU41" s="120"/>
      <c r="AV41" s="113"/>
      <c r="AW41" s="114"/>
      <c r="AX41" s="110"/>
      <c r="AY41" s="241">
        <f>SUM(AY39:AY40)</f>
        <v>13121.212105883975</v>
      </c>
      <c r="AZ41" s="242">
        <f>SUM(AZ39:AZ40)</f>
        <v>14237.911008512399</v>
      </c>
      <c r="BA41" s="242">
        <f>SUM(BA39:BA40)</f>
        <v>1326.0799468712528</v>
      </c>
      <c r="BB41" s="114">
        <f>SUM(AY41:BA41)</f>
        <v>28685.203061267628</v>
      </c>
      <c r="BC41" s="118">
        <f>BB41/[2]Popn!$C$43*1000</f>
        <v>3.9910881949835053</v>
      </c>
      <c r="BD41" s="122"/>
      <c r="BG41" s="144"/>
      <c r="BR41" s="336" t="s">
        <v>106</v>
      </c>
      <c r="BS41" s="315"/>
      <c r="BT41" s="316" t="s">
        <v>109</v>
      </c>
      <c r="BU41" s="316"/>
      <c r="BV41" s="314"/>
      <c r="BW41" s="314"/>
      <c r="BX41" s="314"/>
      <c r="BY41" s="314"/>
      <c r="BZ41" s="314"/>
      <c r="CA41" s="314"/>
    </row>
    <row r="42" spans="1:81" ht="38.25">
      <c r="A42" s="699"/>
      <c r="B42" s="23" t="s">
        <v>11</v>
      </c>
      <c r="C42" s="17" t="s">
        <v>12</v>
      </c>
      <c r="D42" s="201">
        <f>[2]NSW!C51</f>
        <v>3000</v>
      </c>
      <c r="E42" s="198">
        <f>[2]NSW!D51</f>
        <v>11500</v>
      </c>
      <c r="F42" s="198">
        <f>[2]NSW!E51</f>
        <v>0</v>
      </c>
      <c r="G42" s="199">
        <f>'[2]Haz-NSW'!E9</f>
        <v>0</v>
      </c>
      <c r="H42" s="2"/>
      <c r="I42" s="20">
        <f t="shared" si="1"/>
        <v>3000</v>
      </c>
      <c r="J42" s="21">
        <f t="shared" si="2"/>
        <v>11500</v>
      </c>
      <c r="K42" s="21">
        <f t="shared" si="3"/>
        <v>0</v>
      </c>
      <c r="L42" s="22">
        <f t="shared" si="4"/>
        <v>14500</v>
      </c>
      <c r="M42" s="2" t="s">
        <v>116</v>
      </c>
      <c r="N42" s="20">
        <f t="shared" si="5"/>
        <v>3000</v>
      </c>
      <c r="O42" s="21">
        <f t="shared" si="6"/>
        <v>11500</v>
      </c>
      <c r="P42" s="21">
        <f t="shared" si="7"/>
        <v>0</v>
      </c>
      <c r="Q42" s="22">
        <f t="shared" si="8"/>
        <v>14500</v>
      </c>
      <c r="R42" s="33"/>
      <c r="T42" s="201"/>
      <c r="U42" s="198"/>
      <c r="V42" s="198"/>
      <c r="W42" s="199"/>
      <c r="X42" s="273"/>
      <c r="Y42" s="2"/>
      <c r="Z42" s="2"/>
      <c r="AA42" s="274"/>
      <c r="AB42" s="21"/>
      <c r="AC42" s="21"/>
      <c r="AD42" s="21"/>
      <c r="AE42" s="21"/>
      <c r="AF42" s="70"/>
      <c r="AG42" s="20"/>
      <c r="AH42" s="21"/>
      <c r="AI42" s="21"/>
      <c r="AJ42" s="22"/>
      <c r="AK42" s="29"/>
      <c r="AL42" s="19"/>
      <c r="AM42" s="57"/>
      <c r="AN42" s="2"/>
      <c r="AO42" s="2"/>
      <c r="AP42" s="63"/>
      <c r="AQ42" s="70">
        <f>'[2]Haz-NSW'!$G$9</f>
        <v>0</v>
      </c>
      <c r="AR42" s="21"/>
      <c r="AS42" s="21"/>
      <c r="AT42" s="21"/>
      <c r="AU42" s="25"/>
      <c r="AV42" s="21"/>
      <c r="AW42" s="22"/>
      <c r="AX42" s="2"/>
      <c r="AY42" s="23"/>
      <c r="AZ42" s="19"/>
      <c r="BA42" s="19"/>
      <c r="BB42" s="19"/>
      <c r="BC42" s="24"/>
      <c r="BR42" s="317"/>
      <c r="BS42" s="317"/>
      <c r="BT42" s="317"/>
      <c r="BU42" s="317"/>
      <c r="BV42" s="318" t="s">
        <v>100</v>
      </c>
      <c r="BW42" s="318" t="s">
        <v>101</v>
      </c>
      <c r="BX42" s="318" t="s">
        <v>103</v>
      </c>
      <c r="BY42" s="574" t="s">
        <v>192</v>
      </c>
      <c r="BZ42" s="574" t="s">
        <v>258</v>
      </c>
      <c r="CA42" s="317"/>
    </row>
    <row r="43" spans="1:81">
      <c r="A43" s="699"/>
      <c r="B43" s="23"/>
      <c r="C43" s="17" t="s">
        <v>13</v>
      </c>
      <c r="D43" s="201">
        <f>[2]NSW!C52</f>
        <v>0</v>
      </c>
      <c r="E43" s="198">
        <f>[2]NSW!D52</f>
        <v>500</v>
      </c>
      <c r="F43" s="198">
        <f>[2]NSW!E52</f>
        <v>504000</v>
      </c>
      <c r="G43" s="199">
        <f>'[2]Haz-NSW'!E10</f>
        <v>17543.054728255738</v>
      </c>
      <c r="H43" s="3"/>
      <c r="I43" s="20">
        <f t="shared" si="1"/>
        <v>0</v>
      </c>
      <c r="J43" s="21">
        <f t="shared" si="2"/>
        <v>500</v>
      </c>
      <c r="K43" s="21">
        <f t="shared" si="3"/>
        <v>504000</v>
      </c>
      <c r="L43" s="22">
        <f t="shared" si="4"/>
        <v>504500</v>
      </c>
      <c r="M43" s="2" t="s">
        <v>116</v>
      </c>
      <c r="N43" s="20">
        <f t="shared" si="5"/>
        <v>0</v>
      </c>
      <c r="O43" s="21">
        <f t="shared" si="6"/>
        <v>500</v>
      </c>
      <c r="P43" s="21">
        <f t="shared" si="7"/>
        <v>504000</v>
      </c>
      <c r="Q43" s="22">
        <f t="shared" si="8"/>
        <v>504500</v>
      </c>
      <c r="R43" s="34">
        <f>Q43/[2]Popn!$C$43*1000</f>
        <v>70.193123265281145</v>
      </c>
      <c r="T43" s="201">
        <f>[2]NSW!Q52</f>
        <v>0</v>
      </c>
      <c r="U43" s="198">
        <f>[2]NSW!R52</f>
        <v>0</v>
      </c>
      <c r="V43" s="198">
        <f>[2]NSW!S52</f>
        <v>0</v>
      </c>
      <c r="W43" s="199"/>
      <c r="X43" s="281"/>
      <c r="Y43" s="3"/>
      <c r="Z43" s="3"/>
      <c r="AA43" s="282"/>
      <c r="AB43" s="21"/>
      <c r="AC43" s="21"/>
      <c r="AD43" s="21"/>
      <c r="AE43" s="21"/>
      <c r="AF43" s="70"/>
      <c r="AG43" s="20">
        <f t="shared" si="9"/>
        <v>0</v>
      </c>
      <c r="AH43" s="21">
        <f t="shared" si="21"/>
        <v>0</v>
      </c>
      <c r="AI43" s="21">
        <f t="shared" si="22"/>
        <v>0</v>
      </c>
      <c r="AJ43" s="22">
        <f>SUM(AG43:AI43)</f>
        <v>0</v>
      </c>
      <c r="AK43" s="29">
        <f>AJ43/[2]Popn!$C$43*1000</f>
        <v>0</v>
      </c>
      <c r="AL43" s="19"/>
      <c r="AM43" s="57"/>
      <c r="AN43" s="2"/>
      <c r="AO43" s="2"/>
      <c r="AP43" s="64"/>
      <c r="AQ43" s="70">
        <f>'[2]Haz-NSW'!$G$9</f>
        <v>0</v>
      </c>
      <c r="AR43" s="21"/>
      <c r="AS43" s="21"/>
      <c r="AT43" s="21"/>
      <c r="AU43" s="25"/>
      <c r="AV43" s="21"/>
      <c r="AW43" s="22"/>
      <c r="AX43" s="2"/>
      <c r="AY43" s="20"/>
      <c r="AZ43" s="21"/>
      <c r="BA43" s="21"/>
      <c r="BB43" s="21"/>
      <c r="BC43" s="24"/>
      <c r="BR43" s="317"/>
      <c r="BS43" s="317"/>
      <c r="BT43" s="317"/>
      <c r="BU43" s="575" t="s">
        <v>72</v>
      </c>
      <c r="BV43" s="321">
        <f>BL151</f>
        <v>1.0189968808373513</v>
      </c>
      <c r="BW43" s="322">
        <f>BL104</f>
        <v>0.89658454018246925</v>
      </c>
      <c r="BX43" s="322">
        <f>BL10</f>
        <v>0.82589612561467329</v>
      </c>
      <c r="BY43" s="553">
        <f>(BX43-BV43)/BV43</f>
        <v>-0.18950083052658537</v>
      </c>
      <c r="BZ43" s="594">
        <f>(BX43/BV43)^(1/4)-1</f>
        <v>-5.1170577151705254E-2</v>
      </c>
      <c r="CA43" s="317"/>
    </row>
    <row r="44" spans="1:81">
      <c r="A44" s="699"/>
      <c r="B44" s="23"/>
      <c r="C44" s="17" t="s">
        <v>14</v>
      </c>
      <c r="D44" s="201">
        <f>[2]NSW!C53</f>
        <v>95500</v>
      </c>
      <c r="E44" s="198">
        <f>[2]NSW!D53</f>
        <v>148000</v>
      </c>
      <c r="F44" s="198">
        <f>[2]NSW!E53</f>
        <v>26000</v>
      </c>
      <c r="G44" s="199">
        <f>'[2]Haz-NSW'!E11</f>
        <v>38209.780023705345</v>
      </c>
      <c r="H44" s="3"/>
      <c r="I44" s="20">
        <f t="shared" si="1"/>
        <v>95500</v>
      </c>
      <c r="J44" s="21">
        <f t="shared" si="2"/>
        <v>148000</v>
      </c>
      <c r="K44" s="21">
        <f t="shared" si="3"/>
        <v>26000</v>
      </c>
      <c r="L44" s="22">
        <f t="shared" si="4"/>
        <v>269500</v>
      </c>
      <c r="M44" s="2" t="s">
        <v>116</v>
      </c>
      <c r="N44" s="20">
        <f t="shared" si="5"/>
        <v>95500</v>
      </c>
      <c r="O44" s="21">
        <f t="shared" si="6"/>
        <v>148000</v>
      </c>
      <c r="P44" s="21">
        <f t="shared" si="7"/>
        <v>26000</v>
      </c>
      <c r="Q44" s="22">
        <f t="shared" si="8"/>
        <v>269500</v>
      </c>
      <c r="R44" s="34">
        <f>Q44/[2]Popn!$C$43*1000</f>
        <v>37.496623825556526</v>
      </c>
      <c r="T44" s="201">
        <f>[2]NSW!Q53</f>
        <v>0</v>
      </c>
      <c r="U44" s="198">
        <f>[2]NSW!R53</f>
        <v>0</v>
      </c>
      <c r="V44" s="198">
        <f>[2]NSW!S53</f>
        <v>0</v>
      </c>
      <c r="W44" s="199"/>
      <c r="X44" s="281"/>
      <c r="Y44" s="3"/>
      <c r="Z44" s="3"/>
      <c r="AA44" s="282"/>
      <c r="AB44" s="21"/>
      <c r="AC44" s="21"/>
      <c r="AD44" s="21"/>
      <c r="AE44" s="21"/>
      <c r="AF44" s="70"/>
      <c r="AG44" s="20">
        <f t="shared" si="9"/>
        <v>0</v>
      </c>
      <c r="AH44" s="21">
        <f t="shared" si="21"/>
        <v>0</v>
      </c>
      <c r="AI44" s="21">
        <f t="shared" si="22"/>
        <v>0</v>
      </c>
      <c r="AJ44" s="22">
        <f>SUM(AG44:AI44)</f>
        <v>0</v>
      </c>
      <c r="AK44" s="29">
        <f>AJ44/[2]Popn!$C$43*1000</f>
        <v>0</v>
      </c>
      <c r="AL44" s="19"/>
      <c r="AM44" s="57"/>
      <c r="AN44" s="2"/>
      <c r="AO44" s="2"/>
      <c r="AP44" s="64"/>
      <c r="AQ44" s="70">
        <f>'[2]Haz-NSW'!$G$9</f>
        <v>0</v>
      </c>
      <c r="AR44" s="21"/>
      <c r="AS44" s="21"/>
      <c r="AT44" s="21"/>
      <c r="AU44" s="25"/>
      <c r="AV44" s="21"/>
      <c r="AW44" s="22"/>
      <c r="AX44" s="2"/>
      <c r="AY44" s="23"/>
      <c r="AZ44" s="19"/>
      <c r="BA44" s="19"/>
      <c r="BB44" s="21"/>
      <c r="BC44" s="24"/>
      <c r="BR44" s="317"/>
      <c r="BS44" s="317"/>
      <c r="BT44" s="317"/>
      <c r="BU44" s="576" t="s">
        <v>68</v>
      </c>
      <c r="BV44" s="335">
        <f>BL152</f>
        <v>1.1654277929958485</v>
      </c>
      <c r="BW44" s="324">
        <f>BL105</f>
        <v>1.3540911860124329</v>
      </c>
      <c r="BX44" s="324">
        <f>BL11</f>
        <v>1.4904734053108508</v>
      </c>
      <c r="BY44" s="328">
        <f t="shared" ref="BY44:BY47" si="30">(BX44-BV44)/BV44</f>
        <v>0.27890669354936187</v>
      </c>
      <c r="BZ44" s="593">
        <f t="shared" ref="BZ44:BZ47" si="31">(BX44/BV44)^(1/4)-1</f>
        <v>6.3431976632787324E-2</v>
      </c>
      <c r="CA44" s="317"/>
    </row>
    <row r="45" spans="1:81">
      <c r="A45" s="699"/>
      <c r="B45" s="23"/>
      <c r="C45" s="17" t="s">
        <v>15</v>
      </c>
      <c r="D45" s="201">
        <f>[2]NSW!C54</f>
        <v>1000</v>
      </c>
      <c r="E45" s="198">
        <f>[2]NSW!D54</f>
        <v>6500</v>
      </c>
      <c r="F45" s="198">
        <f>[2]NSW!E54</f>
        <v>191500</v>
      </c>
      <c r="G45" s="199">
        <f>'[2]Haz-NSW'!E12</f>
        <v>41.043808647654096</v>
      </c>
      <c r="H45" s="3"/>
      <c r="I45" s="20">
        <f t="shared" si="1"/>
        <v>1000</v>
      </c>
      <c r="J45" s="21">
        <f t="shared" si="2"/>
        <v>6500</v>
      </c>
      <c r="K45" s="21">
        <f t="shared" si="3"/>
        <v>191500</v>
      </c>
      <c r="L45" s="22">
        <f t="shared" si="4"/>
        <v>199000</v>
      </c>
      <c r="M45" s="2" t="s">
        <v>116</v>
      </c>
      <c r="N45" s="20">
        <f t="shared" si="5"/>
        <v>1000</v>
      </c>
      <c r="O45" s="21">
        <f t="shared" si="6"/>
        <v>6500</v>
      </c>
      <c r="P45" s="21">
        <f t="shared" si="7"/>
        <v>191500</v>
      </c>
      <c r="Q45" s="22">
        <f t="shared" si="8"/>
        <v>199000</v>
      </c>
      <c r="R45" s="34">
        <f>Q45/[2]Popn!$C$43*1000</f>
        <v>27.687673993639137</v>
      </c>
      <c r="T45" s="201">
        <f>[2]NSW!Q54</f>
        <v>0</v>
      </c>
      <c r="U45" s="198">
        <f>[2]NSW!R54</f>
        <v>0</v>
      </c>
      <c r="V45" s="198">
        <f>[2]NSW!S54</f>
        <v>0</v>
      </c>
      <c r="W45" s="199"/>
      <c r="X45" s="281"/>
      <c r="Y45" s="3"/>
      <c r="Z45" s="3"/>
      <c r="AA45" s="282"/>
      <c r="AB45" s="21"/>
      <c r="AC45" s="21"/>
      <c r="AD45" s="21"/>
      <c r="AE45" s="21"/>
      <c r="AF45" s="70"/>
      <c r="AG45" s="20">
        <f t="shared" si="9"/>
        <v>0</v>
      </c>
      <c r="AH45" s="21">
        <f t="shared" si="21"/>
        <v>0</v>
      </c>
      <c r="AI45" s="21">
        <f t="shared" si="22"/>
        <v>0</v>
      </c>
      <c r="AJ45" s="22">
        <f>SUM(AG45:AI45)</f>
        <v>0</v>
      </c>
      <c r="AK45" s="29">
        <f>AJ45/[2]Popn!$C$43*1000</f>
        <v>0</v>
      </c>
      <c r="AL45" s="19"/>
      <c r="AM45" s="57"/>
      <c r="AN45" s="2"/>
      <c r="AO45" s="2"/>
      <c r="AP45" s="64"/>
      <c r="AQ45" s="70">
        <f>'[2]Haz-NSW'!$G$9</f>
        <v>0</v>
      </c>
      <c r="AR45" s="21"/>
      <c r="AS45" s="21"/>
      <c r="AT45" s="21"/>
      <c r="AU45" s="25"/>
      <c r="AV45" s="21"/>
      <c r="AW45" s="22"/>
      <c r="AX45" s="2"/>
      <c r="AY45" s="23"/>
      <c r="AZ45" s="19"/>
      <c r="BA45" s="19"/>
      <c r="BB45" s="21"/>
      <c r="BC45" s="24"/>
      <c r="BR45" s="317"/>
      <c r="BS45" s="317"/>
      <c r="BT45" s="317"/>
      <c r="BU45" s="576" t="s">
        <v>69</v>
      </c>
      <c r="BV45" s="335">
        <f>BL153</f>
        <v>5.1091034763028995E-2</v>
      </c>
      <c r="BW45" s="324">
        <f>BL106</f>
        <v>6.0112455760383147E-2</v>
      </c>
      <c r="BX45" s="324">
        <f>BL12</f>
        <v>6.7135664023171157E-2</v>
      </c>
      <c r="BY45" s="328">
        <f t="shared" si="30"/>
        <v>0.31404001376289481</v>
      </c>
      <c r="BZ45" s="593">
        <f t="shared" si="31"/>
        <v>7.0661404836736441E-2</v>
      </c>
      <c r="CA45" s="317"/>
    </row>
    <row r="46" spans="1:81" s="106" customFormat="1">
      <c r="A46" s="699"/>
      <c r="B46" s="107" t="s">
        <v>67</v>
      </c>
      <c r="C46" s="108"/>
      <c r="D46" s="202">
        <f>SUM(D42:D45)</f>
        <v>99500</v>
      </c>
      <c r="E46" s="130">
        <f>SUM(E42:E45)</f>
        <v>166500</v>
      </c>
      <c r="F46" s="130">
        <f>SUM(F42:F45)</f>
        <v>721500</v>
      </c>
      <c r="G46" s="63"/>
      <c r="H46" s="125"/>
      <c r="I46" s="112">
        <f t="shared" si="1"/>
        <v>99500</v>
      </c>
      <c r="J46" s="113">
        <f t="shared" si="2"/>
        <v>166500</v>
      </c>
      <c r="K46" s="113">
        <f t="shared" si="3"/>
        <v>721500</v>
      </c>
      <c r="L46" s="114">
        <f t="shared" si="4"/>
        <v>987500</v>
      </c>
      <c r="M46" s="110"/>
      <c r="N46" s="112">
        <f t="shared" si="5"/>
        <v>99500</v>
      </c>
      <c r="O46" s="113">
        <f t="shared" si="6"/>
        <v>166500</v>
      </c>
      <c r="P46" s="113">
        <f t="shared" si="7"/>
        <v>721500</v>
      </c>
      <c r="Q46" s="114">
        <f t="shared" si="8"/>
        <v>987500</v>
      </c>
      <c r="R46" s="115">
        <f>Q46/[2]Popn!$C$43*1000</f>
        <v>137.39486466692787</v>
      </c>
      <c r="T46" s="202">
        <f>SUM(T42:T45)</f>
        <v>0</v>
      </c>
      <c r="U46" s="130">
        <f>SUM(U42:U45)</f>
        <v>0</v>
      </c>
      <c r="V46" s="130">
        <f>SUM(V42:V45)</f>
        <v>0</v>
      </c>
      <c r="W46" s="203"/>
      <c r="X46" s="283"/>
      <c r="Y46" s="125"/>
      <c r="Z46" s="125"/>
      <c r="AA46" s="284"/>
      <c r="AB46" s="113"/>
      <c r="AC46" s="113"/>
      <c r="AD46" s="113"/>
      <c r="AE46" s="113"/>
      <c r="AF46" s="117"/>
      <c r="AG46" s="112">
        <f t="shared" si="9"/>
        <v>0</v>
      </c>
      <c r="AH46" s="113">
        <f t="shared" si="21"/>
        <v>0</v>
      </c>
      <c r="AI46" s="113">
        <f t="shared" si="22"/>
        <v>0</v>
      </c>
      <c r="AJ46" s="114">
        <f>SUM(AJ42:AJ45)</f>
        <v>0</v>
      </c>
      <c r="AK46" s="118">
        <f>SUM(AK42:AK45)</f>
        <v>0</v>
      </c>
      <c r="AL46" s="119"/>
      <c r="AM46" s="109"/>
      <c r="AN46" s="110"/>
      <c r="AO46" s="110"/>
      <c r="AP46" s="124"/>
      <c r="AQ46" s="126"/>
      <c r="AR46" s="113"/>
      <c r="AS46" s="113"/>
      <c r="AT46" s="113"/>
      <c r="AU46" s="120"/>
      <c r="AV46" s="113"/>
      <c r="AW46" s="114"/>
      <c r="AX46" s="110"/>
      <c r="AY46" s="127"/>
      <c r="AZ46" s="119"/>
      <c r="BA46" s="119"/>
      <c r="BB46" s="113"/>
      <c r="BC46" s="121"/>
      <c r="BG46" s="144"/>
      <c r="BR46" s="314"/>
      <c r="BS46" s="314"/>
      <c r="BT46" s="317"/>
      <c r="BU46" s="576" t="s">
        <v>240</v>
      </c>
      <c r="BV46" s="630">
        <f>SUM(BV44:BV45)/BV47</f>
        <v>0.54417816125424545</v>
      </c>
      <c r="BW46" s="328">
        <f t="shared" ref="BW46:BX46" si="32">SUM(BW44:BW45)/BW47</f>
        <v>0.61200055150714006</v>
      </c>
      <c r="BX46" s="328">
        <f t="shared" si="32"/>
        <v>0.65349514346980453</v>
      </c>
      <c r="BY46" s="328">
        <f t="shared" si="30"/>
        <v>0.20088454480348963</v>
      </c>
      <c r="BZ46" s="593">
        <f t="shared" si="31"/>
        <v>4.6827960199398833E-2</v>
      </c>
      <c r="CA46" s="317"/>
      <c r="CB46" s="6"/>
      <c r="CC46" s="6"/>
    </row>
    <row r="47" spans="1:81" s="106" customFormat="1" ht="13.5" thickBot="1">
      <c r="A47" s="699"/>
      <c r="B47" s="131" t="s">
        <v>37</v>
      </c>
      <c r="C47" s="132" t="s">
        <v>1</v>
      </c>
      <c r="D47" s="201"/>
      <c r="E47" s="198"/>
      <c r="F47" s="198"/>
      <c r="G47" s="203">
        <f>'[2]Fly ash'!$B$264</f>
        <v>1628642.562894959</v>
      </c>
      <c r="H47" s="130"/>
      <c r="I47" s="20"/>
      <c r="J47" s="21"/>
      <c r="K47" s="21"/>
      <c r="L47" s="114">
        <f>G47</f>
        <v>1628642.562894959</v>
      </c>
      <c r="M47" s="110"/>
      <c r="N47" s="20"/>
      <c r="O47" s="21"/>
      <c r="P47" s="21"/>
      <c r="Q47" s="114">
        <f>L47</f>
        <v>1628642.562894959</v>
      </c>
      <c r="R47" s="115">
        <f>Q47/[2]Popn!$C$43*1000</f>
        <v>226.59961976683695</v>
      </c>
      <c r="T47" s="201"/>
      <c r="U47" s="198"/>
      <c r="V47" s="198"/>
      <c r="W47" s="203"/>
      <c r="X47" s="253"/>
      <c r="Y47" s="130"/>
      <c r="Z47" s="130"/>
      <c r="AA47" s="285">
        <f>'[2]Fly ash'!$B$256</f>
        <v>2876598.9823356718</v>
      </c>
      <c r="AB47" s="113"/>
      <c r="AC47" s="113"/>
      <c r="AD47" s="113"/>
      <c r="AE47" s="113"/>
      <c r="AF47" s="117"/>
      <c r="AG47" s="20"/>
      <c r="AH47" s="21"/>
      <c r="AI47" s="21"/>
      <c r="AJ47" s="114">
        <f>AA47</f>
        <v>2876598.9823356718</v>
      </c>
      <c r="AK47" s="115">
        <f>AJ47/[2]Popn!$C$43*1000</f>
        <v>400.2328383585135</v>
      </c>
      <c r="AL47" s="119"/>
      <c r="AM47" s="109"/>
      <c r="AN47" s="110"/>
      <c r="AO47" s="110"/>
      <c r="AP47" s="111"/>
      <c r="AQ47" s="117"/>
      <c r="AR47" s="113"/>
      <c r="AS47" s="113"/>
      <c r="AT47" s="113"/>
      <c r="AU47" s="120"/>
      <c r="AV47" s="113"/>
      <c r="AW47" s="114"/>
      <c r="AX47" s="110"/>
      <c r="AY47" s="127"/>
      <c r="AZ47" s="119"/>
      <c r="BA47" s="119"/>
      <c r="BB47" s="119"/>
      <c r="BC47" s="121"/>
      <c r="BG47" s="144"/>
      <c r="BR47" s="314"/>
      <c r="BS47" s="314"/>
      <c r="BT47" s="314"/>
      <c r="BU47" s="576" t="s">
        <v>191</v>
      </c>
      <c r="BV47" s="577">
        <f>SUM(BV43:BV45)</f>
        <v>2.2355157085962287</v>
      </c>
      <c r="BW47" s="579">
        <f>SUM(BW43:BW45)</f>
        <v>2.3107881819552851</v>
      </c>
      <c r="BX47" s="579">
        <f>SUM(BX43:BX45)</f>
        <v>2.3835051949486949</v>
      </c>
      <c r="BY47" s="580">
        <f t="shared" si="30"/>
        <v>6.6199260324319012E-2</v>
      </c>
      <c r="BZ47" s="652">
        <f t="shared" si="31"/>
        <v>1.6154147790530038E-2</v>
      </c>
      <c r="CA47" s="317"/>
      <c r="CB47" s="6"/>
      <c r="CC47" s="6"/>
    </row>
    <row r="48" spans="1:81" ht="13.5" thickBot="1">
      <c r="B48" s="19"/>
      <c r="C48" s="38"/>
      <c r="D48" s="57"/>
      <c r="E48" s="2"/>
      <c r="F48" s="2"/>
      <c r="G48" s="63"/>
      <c r="H48" s="2"/>
      <c r="I48" s="20"/>
      <c r="J48" s="21"/>
      <c r="K48" s="21"/>
      <c r="L48" s="22"/>
      <c r="M48" s="2"/>
      <c r="N48" s="20"/>
      <c r="O48" s="21"/>
      <c r="P48" s="21"/>
      <c r="Q48" s="22"/>
      <c r="R48" s="115"/>
      <c r="T48" s="201"/>
      <c r="U48" s="198"/>
      <c r="V48" s="198"/>
      <c r="W48" s="63"/>
      <c r="X48" s="273"/>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19"/>
      <c r="BC48" s="24"/>
      <c r="BR48" s="317"/>
      <c r="BS48" s="317"/>
      <c r="BT48" s="314"/>
      <c r="BU48" s="314"/>
      <c r="BV48" s="314"/>
      <c r="BW48" s="314"/>
      <c r="BX48" s="314"/>
      <c r="BY48" s="314"/>
      <c r="BZ48" s="314"/>
      <c r="CA48" s="317"/>
    </row>
    <row r="49" spans="1:81" ht="13.5" thickBot="1">
      <c r="C49" s="39" t="s">
        <v>38</v>
      </c>
      <c r="D49" s="206">
        <f>[2]NSW!C58</f>
        <v>436000</v>
      </c>
      <c r="E49" s="207">
        <f>[2]NSW!D58</f>
        <v>383000</v>
      </c>
      <c r="F49" s="207">
        <f>[2]NSW!E58</f>
        <v>177500</v>
      </c>
      <c r="G49" s="208"/>
      <c r="H49" s="2"/>
      <c r="I49" s="357">
        <f t="shared" si="1"/>
        <v>436000</v>
      </c>
      <c r="J49" s="267">
        <f t="shared" si="2"/>
        <v>383000</v>
      </c>
      <c r="K49" s="267">
        <f t="shared" si="3"/>
        <v>177500</v>
      </c>
      <c r="L49" s="358">
        <f t="shared" si="4"/>
        <v>996500</v>
      </c>
      <c r="M49" s="2"/>
      <c r="N49" s="357">
        <f t="shared" si="5"/>
        <v>436000</v>
      </c>
      <c r="O49" s="267">
        <f t="shared" si="6"/>
        <v>383000</v>
      </c>
      <c r="P49" s="267">
        <f t="shared" si="7"/>
        <v>177500</v>
      </c>
      <c r="Q49" s="358">
        <f t="shared" si="8"/>
        <v>996500</v>
      </c>
      <c r="R49" s="115">
        <f>Q49/[2]Popn!$C$43*1000</f>
        <v>138.64707102844926</v>
      </c>
      <c r="T49" s="206">
        <f>[2]NSW!Q58</f>
        <v>141500</v>
      </c>
      <c r="U49" s="207">
        <f>[2]NSW!R58</f>
        <v>9500</v>
      </c>
      <c r="V49" s="207">
        <f>[2]NSW!S58</f>
        <v>772000</v>
      </c>
      <c r="W49" s="208"/>
      <c r="X49" s="273"/>
      <c r="Y49" s="2"/>
      <c r="Z49" s="2"/>
      <c r="AA49" s="274"/>
      <c r="AB49" s="21"/>
      <c r="AC49" s="21"/>
      <c r="AD49" s="21"/>
      <c r="AE49" s="21"/>
      <c r="AF49" s="70"/>
      <c r="AG49" s="357">
        <f t="shared" si="9"/>
        <v>141500</v>
      </c>
      <c r="AH49" s="267">
        <f t="shared" si="21"/>
        <v>9500</v>
      </c>
      <c r="AI49" s="267">
        <f t="shared" si="22"/>
        <v>772000</v>
      </c>
      <c r="AJ49" s="22">
        <f>SUM(AG49:AI49)</f>
        <v>923000</v>
      </c>
      <c r="AK49" s="29">
        <f>AJ49/[2]Popn!$C$43*1000</f>
        <v>128.42071907602477</v>
      </c>
      <c r="AL49" s="19"/>
      <c r="AM49" s="58"/>
      <c r="AN49" s="59"/>
      <c r="AO49" s="2"/>
      <c r="AP49" s="65"/>
      <c r="AQ49" s="68"/>
      <c r="AR49" s="21"/>
      <c r="AS49" s="21"/>
      <c r="AT49" s="21"/>
      <c r="AU49" s="25"/>
      <c r="AV49" s="21"/>
      <c r="AW49" s="22"/>
      <c r="AX49" s="2"/>
      <c r="AY49" s="23"/>
      <c r="AZ49" s="19"/>
      <c r="BA49" s="19"/>
      <c r="BB49" s="19"/>
      <c r="BC49" s="24"/>
      <c r="BR49" s="317"/>
      <c r="BS49" s="317"/>
      <c r="BT49" s="317"/>
      <c r="BU49" s="317"/>
      <c r="BV49" s="317"/>
      <c r="BW49" s="317"/>
      <c r="BX49" s="317"/>
      <c r="BY49" s="317"/>
      <c r="BZ49" s="317"/>
      <c r="CA49" s="317"/>
    </row>
    <row r="50" spans="1:81" ht="13.5" thickBot="1">
      <c r="C50" s="135" t="s">
        <v>92</v>
      </c>
      <c r="D50" s="134">
        <f>SUM(D12,D16,D22,D27,D37,D38,D41,D46,D49)</f>
        <v>2298000</v>
      </c>
      <c r="E50" s="134">
        <f>SUM(E12,E16,E22,E27,E37,E38,E41,E46,E49)</f>
        <v>2371499.660851188</v>
      </c>
      <c r="F50" s="134">
        <f>SUM(F12,F16,F22,F27,F37,F38,F41,F46,F49)</f>
        <v>1749000</v>
      </c>
      <c r="G50" s="66"/>
      <c r="H50" s="246"/>
      <c r="I50" s="41">
        <f>SUM(I46,I41,I38,I37,I27,I22,I16,I12)</f>
        <v>1862000</v>
      </c>
      <c r="J50" s="218">
        <f>SUM(J46,J41,J38,J37,J27,J22,J16,J12)</f>
        <v>1988499.6608511882</v>
      </c>
      <c r="K50" s="218">
        <f>SUM(K46,K41,K38,K37,K27,K22,K16,K12)</f>
        <v>1571500</v>
      </c>
      <c r="L50" s="42">
        <f>SUM(L46,L41,L38,L37,L27,L22,L16,L12)</f>
        <v>5421999.660851188</v>
      </c>
      <c r="M50" s="43"/>
      <c r="N50" s="44">
        <f>SUM(N46,N41,N38,N37,N27,N22,N16,N12,N49)</f>
        <v>2023876.1619114019</v>
      </c>
      <c r="O50" s="45">
        <f>SUM(O46,O41,O38,O37,O27,O22,O16,O12,O49)</f>
        <v>2181674.6066493597</v>
      </c>
      <c r="P50" s="45">
        <f>SUM(P46,P41,P38,P37,P27,P22,P16,P12,P49)</f>
        <v>1730423.8111413084</v>
      </c>
      <c r="Q50" s="133">
        <f>SUM(Q46,Q41,Q38,Q37,Q27,Q22,Q16,Q12,Q49)</f>
        <v>5935974.57970207</v>
      </c>
      <c r="R50" s="27">
        <f>SUM(R46,R41,R38,R37,R27,R22,R16,R12,R49)</f>
        <v>825.89612561467334</v>
      </c>
      <c r="T50" s="60">
        <f>SUM(T12,T16,T22,T27,T37,T38,T41,T46,T49)</f>
        <v>2457000</v>
      </c>
      <c r="U50" s="134">
        <f>SUM(U12,U16,U22,U27,U37,U38,U41,U46,U49)</f>
        <v>3099500</v>
      </c>
      <c r="V50" s="134">
        <f>SUM(V12,V16,V22,V27,V37,V38,V41,V46,V49)</f>
        <v>5156000</v>
      </c>
      <c r="W50" s="66"/>
      <c r="X50" s="286"/>
      <c r="Y50" s="266"/>
      <c r="Z50" s="266"/>
      <c r="AA50" s="287"/>
      <c r="AB50" s="45"/>
      <c r="AC50" s="45"/>
      <c r="AD50" s="45"/>
      <c r="AE50" s="45"/>
      <c r="AF50" s="230"/>
      <c r="AG50" s="44">
        <f>SUM(AG12,AG16,AG22,AG27,AG37,AG38,AG41,AG46,AG49)</f>
        <v>2457000</v>
      </c>
      <c r="AH50" s="45">
        <f>SUM(AH12,AH16,AH22,AH27,AH37,AH38,AH41,AH46,AH49)</f>
        <v>3099500</v>
      </c>
      <c r="AI50" s="45">
        <f>SUM(AI12,AI16,AI22,AI27,AI37,AI38,AI41,AI46,AI49)</f>
        <v>5156000</v>
      </c>
      <c r="AJ50" s="354">
        <f>SUM(AJ46,AJ41,AJ38,AJ37,AJ27,AJ22,AJ16,AJ12,AJ49)</f>
        <v>10712500</v>
      </c>
      <c r="AK50" s="27">
        <f>SUM(AK46,AK41,AK38,AK37,AK27,AK22,AK16,AK12,AK49)</f>
        <v>1490.4734053108509</v>
      </c>
      <c r="AL50" s="19"/>
      <c r="AM50" s="60"/>
      <c r="AN50" s="706"/>
      <c r="AO50" s="707"/>
      <c r="AP50" s="66"/>
      <c r="AQ50" s="71"/>
      <c r="AR50" s="45">
        <f>SUM(AR7:AR49)</f>
        <v>359742.2072672497</v>
      </c>
      <c r="AS50" s="46">
        <f>SUM(AS7:AS49)</f>
        <v>1</v>
      </c>
      <c r="AT50" s="45">
        <f>SUM(AT7:AT49)</f>
        <v>482525.08114911837</v>
      </c>
      <c r="AU50" s="47"/>
      <c r="AV50" s="45"/>
      <c r="AW50" s="214"/>
      <c r="AX50" s="43"/>
      <c r="AY50" s="44">
        <f>SUM(AY46,AY41,AY38,AY37,AY27,AY22,AY16,AY12)</f>
        <v>274123.83808859822</v>
      </c>
      <c r="AZ50" s="45">
        <f>SUM(AZ46,AZ41,AZ38,AZ37,AZ27,AZ22,AZ16,AZ12)</f>
        <v>189825.05420182855</v>
      </c>
      <c r="BA50" s="45">
        <f>SUM(BA46,BA41,BA38,BA37,BA27,BA22,BA16,BA12)</f>
        <v>18576.188858691617</v>
      </c>
      <c r="BB50" s="354">
        <f>SUM(BB46,BB41,BB38,BB37,BB27,BB22,BB16,BB12,BB49)</f>
        <v>482525.08114911837</v>
      </c>
      <c r="BC50" s="27">
        <f>SUM(BC46,BC41,BC38,BC37,BC27,BC22,BC16,BC12,BC49)</f>
        <v>67.135664023171159</v>
      </c>
      <c r="BR50" s="317"/>
      <c r="BS50" s="317"/>
      <c r="BT50" s="317"/>
      <c r="BU50" s="317"/>
      <c r="BV50" s="317"/>
      <c r="BW50" s="317"/>
      <c r="BX50" s="317"/>
      <c r="BY50" s="317"/>
      <c r="BZ50" s="317"/>
      <c r="CA50" s="317"/>
    </row>
    <row r="51" spans="1:81" ht="13.5" thickBot="1">
      <c r="C51" s="136" t="s">
        <v>65</v>
      </c>
      <c r="Q51" s="49">
        <f>Q50+Q47</f>
        <v>7564617.142597029</v>
      </c>
      <c r="R51" s="216">
        <f>R50+R47</f>
        <v>1052.4957453815102</v>
      </c>
      <c r="AB51" s="302"/>
      <c r="AJ51" s="353">
        <f>AJ50+AJ47</f>
        <v>13589098.982335672</v>
      </c>
      <c r="AK51" s="216">
        <f>AK50+AK47</f>
        <v>1890.7062436693645</v>
      </c>
      <c r="AW51" s="152"/>
      <c r="BB51" s="353">
        <f>BB50+BB47</f>
        <v>482525.08114911837</v>
      </c>
      <c r="BC51" s="216">
        <f>BC50+BC47</f>
        <v>67.135664023171159</v>
      </c>
      <c r="BR51" s="317"/>
      <c r="BS51" s="317"/>
      <c r="BT51" s="317"/>
      <c r="BU51" s="317"/>
      <c r="BV51" s="317"/>
      <c r="BW51" s="317"/>
      <c r="BX51" s="317"/>
      <c r="BY51" s="317"/>
      <c r="BZ51" s="317"/>
      <c r="CA51" s="317"/>
    </row>
    <row r="52" spans="1:81">
      <c r="BR52" s="317"/>
      <c r="BS52" s="317"/>
      <c r="BT52" s="317"/>
      <c r="BU52" s="317"/>
      <c r="BV52" s="317"/>
      <c r="BW52" s="317"/>
      <c r="BX52" s="317"/>
      <c r="BY52" s="317"/>
      <c r="BZ52" s="317"/>
      <c r="CA52" s="317"/>
    </row>
    <row r="53" spans="1:81" ht="13.5" thickBot="1">
      <c r="W53" s="215"/>
      <c r="X53" s="215"/>
      <c r="Y53" s="215"/>
      <c r="Z53" s="215"/>
      <c r="AA53" s="215"/>
      <c r="AT53" s="215"/>
      <c r="AU53" s="215"/>
      <c r="AV53" s="215"/>
      <c r="AW53" s="215"/>
      <c r="BR53" s="317"/>
      <c r="BS53" s="317"/>
      <c r="BT53" s="317"/>
      <c r="BU53" s="317"/>
      <c r="BV53" s="317"/>
      <c r="BW53" s="317"/>
      <c r="BX53" s="317"/>
      <c r="BY53" s="317"/>
      <c r="BZ53" s="317"/>
      <c r="CA53" s="317"/>
    </row>
    <row r="54" spans="1:81">
      <c r="A54" s="699" t="s">
        <v>81</v>
      </c>
      <c r="B54" s="16" t="s">
        <v>3</v>
      </c>
      <c r="C54" s="148" t="s">
        <v>16</v>
      </c>
      <c r="D54" s="55"/>
      <c r="E54" s="56"/>
      <c r="F54" s="56"/>
      <c r="G54" s="149"/>
      <c r="H54" s="150"/>
      <c r="I54" s="151"/>
      <c r="J54" s="26"/>
      <c r="K54" s="26"/>
      <c r="L54" s="133"/>
      <c r="M54" s="56"/>
      <c r="N54" s="16"/>
      <c r="O54" s="18"/>
      <c r="P54" s="18"/>
      <c r="Q54" s="18"/>
      <c r="R54" s="28"/>
      <c r="S54" s="152"/>
      <c r="T54" s="55"/>
      <c r="U54" s="56"/>
      <c r="V54" s="56"/>
      <c r="W54" s="199"/>
      <c r="X54" s="271"/>
      <c r="Y54" s="5"/>
      <c r="Z54" s="5"/>
      <c r="AA54" s="272"/>
      <c r="AB54" s="26"/>
      <c r="AC54" s="26"/>
      <c r="AD54" s="26"/>
      <c r="AE54" s="26"/>
      <c r="AF54" s="84"/>
      <c r="AG54" s="151"/>
      <c r="AH54" s="26"/>
      <c r="AI54" s="26"/>
      <c r="AJ54" s="133"/>
      <c r="AK54" s="27"/>
      <c r="AL54" s="18"/>
      <c r="AM54" s="55"/>
      <c r="AN54" s="56"/>
      <c r="AO54" s="56"/>
      <c r="AP54" s="149"/>
      <c r="AQ54" s="153"/>
      <c r="AR54" s="26"/>
      <c r="AS54" s="26"/>
      <c r="AT54" s="21"/>
      <c r="AU54" s="25"/>
      <c r="AV54" s="21"/>
      <c r="AW54" s="22"/>
      <c r="AX54" s="56"/>
      <c r="AY54" s="16"/>
      <c r="AZ54" s="18"/>
      <c r="BA54" s="18"/>
      <c r="BB54" s="244"/>
      <c r="BC54" s="28"/>
      <c r="BD54" s="8"/>
      <c r="BH54" s="700" t="s">
        <v>86</v>
      </c>
      <c r="BI54" s="701"/>
      <c r="BJ54" s="701"/>
      <c r="BK54" s="701"/>
      <c r="BL54" s="702"/>
      <c r="BM54" s="700" t="s">
        <v>87</v>
      </c>
      <c r="BN54" s="702"/>
      <c r="BP54" s="8"/>
      <c r="BQ54" s="8"/>
      <c r="BR54" s="325"/>
      <c r="BS54" s="325"/>
      <c r="BT54" s="317"/>
      <c r="BU54" s="317"/>
      <c r="BV54" s="317"/>
      <c r="BW54" s="317"/>
      <c r="BX54" s="317"/>
      <c r="BY54" s="317"/>
      <c r="BZ54" s="317"/>
      <c r="CA54" s="317"/>
    </row>
    <row r="55" spans="1:81">
      <c r="A55" s="699"/>
      <c r="B55" s="23"/>
      <c r="C55" s="17" t="s">
        <v>17</v>
      </c>
      <c r="D55" s="57"/>
      <c r="E55" s="2"/>
      <c r="F55" s="2"/>
      <c r="G55" s="63"/>
      <c r="H55" s="5"/>
      <c r="I55" s="20"/>
      <c r="J55" s="21"/>
      <c r="K55" s="21"/>
      <c r="L55" s="22"/>
      <c r="M55" s="2"/>
      <c r="N55" s="23"/>
      <c r="O55" s="19"/>
      <c r="P55" s="19"/>
      <c r="Q55" s="19"/>
      <c r="R55" s="24"/>
      <c r="T55" s="57"/>
      <c r="U55" s="2"/>
      <c r="V55" s="2"/>
      <c r="W55" s="199"/>
      <c r="X55" s="271"/>
      <c r="Y55" s="5"/>
      <c r="Z55" s="5"/>
      <c r="AA55" s="272"/>
      <c r="AB55" s="21"/>
      <c r="AC55" s="21"/>
      <c r="AD55" s="21"/>
      <c r="AE55" s="21"/>
      <c r="AF55" s="70"/>
      <c r="AG55" s="20"/>
      <c r="AH55" s="21"/>
      <c r="AI55" s="21"/>
      <c r="AJ55" s="22"/>
      <c r="AK55" s="29"/>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5"/>
      <c r="BU55" s="325"/>
      <c r="BV55" s="317"/>
      <c r="BW55" s="317"/>
      <c r="BX55" s="317"/>
      <c r="BY55" s="317"/>
      <c r="BZ55" s="317"/>
      <c r="CA55" s="317"/>
    </row>
    <row r="56" spans="1:81">
      <c r="A56" s="699"/>
      <c r="B56" s="23"/>
      <c r="C56" s="17" t="s">
        <v>18</v>
      </c>
      <c r="D56" s="57"/>
      <c r="E56" s="2"/>
      <c r="F56" s="2"/>
      <c r="G56" s="63"/>
      <c r="H56" s="5"/>
      <c r="I56" s="20"/>
      <c r="J56" s="21"/>
      <c r="K56" s="21"/>
      <c r="L56" s="22"/>
      <c r="M56" s="2"/>
      <c r="N56" s="23"/>
      <c r="O56" s="19"/>
      <c r="P56" s="19"/>
      <c r="Q56" s="19"/>
      <c r="R56" s="24"/>
      <c r="T56" s="57"/>
      <c r="U56" s="2"/>
      <c r="V56" s="2"/>
      <c r="W56" s="199"/>
      <c r="X56" s="271"/>
      <c r="Y56" s="5"/>
      <c r="Z56" s="5"/>
      <c r="AA56" s="272"/>
      <c r="AB56" s="21"/>
      <c r="AC56" s="21"/>
      <c r="AD56" s="21"/>
      <c r="AE56" s="21"/>
      <c r="AF56" s="70"/>
      <c r="AG56" s="20"/>
      <c r="AH56" s="21"/>
      <c r="AI56" s="21"/>
      <c r="AJ56" s="22"/>
      <c r="AK56" s="29"/>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6"/>
      <c r="BU56" s="326"/>
      <c r="BV56" s="317"/>
      <c r="BW56" s="317"/>
      <c r="BX56" s="317"/>
      <c r="BY56" s="317"/>
      <c r="BZ56" s="317"/>
      <c r="CA56" s="317"/>
    </row>
    <row r="57" spans="1:81">
      <c r="A57" s="699"/>
      <c r="B57" s="23"/>
      <c r="C57" s="17" t="s">
        <v>182</v>
      </c>
      <c r="D57" s="57"/>
      <c r="E57" s="2"/>
      <c r="F57" s="2"/>
      <c r="G57" s="63"/>
      <c r="H57" s="2"/>
      <c r="I57" s="20"/>
      <c r="J57" s="21"/>
      <c r="K57" s="21"/>
      <c r="L57" s="22"/>
      <c r="M57" s="2"/>
      <c r="N57" s="23"/>
      <c r="O57" s="19"/>
      <c r="P57" s="19"/>
      <c r="Q57" s="19"/>
      <c r="R57" s="24"/>
      <c r="T57" s="57"/>
      <c r="U57" s="2"/>
      <c r="V57" s="2"/>
      <c r="W57" s="199"/>
      <c r="X57" s="273"/>
      <c r="Y57" s="2"/>
      <c r="Z57" s="2"/>
      <c r="AA57" s="274"/>
      <c r="AB57" s="21"/>
      <c r="AC57" s="21"/>
      <c r="AD57" s="21"/>
      <c r="AE57" s="21"/>
      <c r="AF57" s="70"/>
      <c r="AG57" s="20"/>
      <c r="AH57" s="21"/>
      <c r="AI57" s="21"/>
      <c r="AJ57" s="22"/>
      <c r="AK57" s="29"/>
      <c r="AL57" s="19"/>
      <c r="AM57" s="57"/>
      <c r="AN57" s="2"/>
      <c r="AO57" s="2"/>
      <c r="AP57" s="63"/>
      <c r="AQ57" s="68"/>
      <c r="AR57" s="21"/>
      <c r="AS57" s="21"/>
      <c r="AT57" s="21"/>
      <c r="AU57" s="25"/>
      <c r="AV57" s="21"/>
      <c r="AW57" s="22"/>
      <c r="AX57" s="2"/>
      <c r="AY57" s="23"/>
      <c r="AZ57" s="19"/>
      <c r="BA57" s="19"/>
      <c r="BB57" s="19"/>
      <c r="BC57" s="24"/>
      <c r="BD57" s="30"/>
      <c r="BG57" s="145" t="s">
        <v>72</v>
      </c>
      <c r="BH57" s="52">
        <f>N97/1000</f>
        <v>0</v>
      </c>
      <c r="BI57" s="52">
        <f>O97/1000</f>
        <v>0</v>
      </c>
      <c r="BJ57" s="52">
        <f>P97/1000</f>
        <v>0</v>
      </c>
      <c r="BK57" s="53">
        <f>Q97/1000</f>
        <v>0</v>
      </c>
      <c r="BL57" s="54">
        <f>R97/1000</f>
        <v>0</v>
      </c>
      <c r="BM57" s="51">
        <f>Q98/1000</f>
        <v>0</v>
      </c>
      <c r="BN57" s="54">
        <f>R98/1000</f>
        <v>0</v>
      </c>
      <c r="BP57" s="30"/>
      <c r="BQ57" s="30"/>
      <c r="BR57" s="327"/>
      <c r="BS57" s="328"/>
      <c r="BT57" s="328"/>
      <c r="BU57" s="329"/>
      <c r="BV57" s="317"/>
      <c r="BW57" s="317"/>
      <c r="BX57" s="317"/>
      <c r="BY57" s="317"/>
      <c r="BZ57" s="317"/>
      <c r="CA57" s="317"/>
    </row>
    <row r="58" spans="1:81">
      <c r="A58" s="699"/>
      <c r="B58" s="23"/>
      <c r="C58" s="17" t="s">
        <v>183</v>
      </c>
      <c r="D58" s="57"/>
      <c r="E58" s="2"/>
      <c r="F58" s="2"/>
      <c r="G58" s="63"/>
      <c r="H58" s="2"/>
      <c r="I58" s="20"/>
      <c r="J58" s="21"/>
      <c r="K58" s="21"/>
      <c r="L58" s="22"/>
      <c r="M58" s="2"/>
      <c r="N58" s="23"/>
      <c r="O58" s="19"/>
      <c r="P58" s="19"/>
      <c r="Q58" s="19"/>
      <c r="R58" s="33"/>
      <c r="T58" s="57"/>
      <c r="U58" s="2"/>
      <c r="V58" s="2"/>
      <c r="W58" s="199"/>
      <c r="X58" s="273"/>
      <c r="Y58" s="2"/>
      <c r="Z58" s="2"/>
      <c r="AA58" s="274"/>
      <c r="AB58" s="21"/>
      <c r="AC58" s="21"/>
      <c r="AD58" s="21"/>
      <c r="AE58" s="21"/>
      <c r="AF58" s="70"/>
      <c r="AG58" s="20"/>
      <c r="AH58" s="21"/>
      <c r="AI58" s="21"/>
      <c r="AJ58" s="22"/>
      <c r="AK58" s="29"/>
      <c r="AL58" s="19"/>
      <c r="AM58" s="57"/>
      <c r="AN58" s="2"/>
      <c r="AO58" s="2"/>
      <c r="AP58" s="63"/>
      <c r="AQ58" s="68"/>
      <c r="AR58" s="21"/>
      <c r="AS58" s="21"/>
      <c r="AT58" s="21"/>
      <c r="AU58" s="25"/>
      <c r="AV58" s="21"/>
      <c r="AW58" s="22"/>
      <c r="AX58" s="2"/>
      <c r="AY58" s="23"/>
      <c r="AZ58" s="19"/>
      <c r="BA58" s="19"/>
      <c r="BB58" s="19"/>
      <c r="BC58" s="24"/>
      <c r="BD58" s="30"/>
      <c r="BG58" s="77" t="s">
        <v>68</v>
      </c>
      <c r="BH58" s="52">
        <f>AG97/1000</f>
        <v>0</v>
      </c>
      <c r="BI58" s="52">
        <f>AH97/1000</f>
        <v>0</v>
      </c>
      <c r="BJ58" s="52">
        <f>AI97/1000</f>
        <v>0</v>
      </c>
      <c r="BK58" s="53">
        <f>AJ97/1000</f>
        <v>0</v>
      </c>
      <c r="BL58" s="54">
        <f>AK97/1000</f>
        <v>0</v>
      </c>
      <c r="BM58" s="51">
        <f>AJ98/1000</f>
        <v>0</v>
      </c>
      <c r="BN58" s="54">
        <f>AK98/1000</f>
        <v>0</v>
      </c>
      <c r="BR58" s="317"/>
      <c r="BS58" s="317"/>
      <c r="BT58" s="328"/>
      <c r="BU58" s="329"/>
      <c r="BV58" s="317"/>
      <c r="BW58" s="317"/>
      <c r="BX58" s="317"/>
      <c r="BY58" s="317"/>
      <c r="BZ58" s="317"/>
      <c r="CA58" s="317"/>
    </row>
    <row r="59" spans="1:81" s="106" customFormat="1">
      <c r="A59" s="699"/>
      <c r="B59" s="107" t="s">
        <v>67</v>
      </c>
      <c r="C59" s="108"/>
      <c r="D59" s="109"/>
      <c r="E59" s="110"/>
      <c r="F59" s="110"/>
      <c r="G59" s="111"/>
      <c r="H59" s="110"/>
      <c r="I59" s="112"/>
      <c r="J59" s="113"/>
      <c r="K59" s="113"/>
      <c r="L59" s="114"/>
      <c r="M59" s="110"/>
      <c r="N59" s="112"/>
      <c r="O59" s="113"/>
      <c r="P59" s="113"/>
      <c r="Q59" s="114"/>
      <c r="R59" s="115"/>
      <c r="T59" s="109"/>
      <c r="U59" s="110"/>
      <c r="V59" s="2"/>
      <c r="W59" s="203"/>
      <c r="X59" s="275"/>
      <c r="Y59" s="110"/>
      <c r="Z59" s="110"/>
      <c r="AA59" s="276"/>
      <c r="AB59" s="113"/>
      <c r="AC59" s="113"/>
      <c r="AD59" s="21"/>
      <c r="AE59" s="113"/>
      <c r="AF59" s="117"/>
      <c r="AG59" s="112"/>
      <c r="AH59" s="113"/>
      <c r="AI59" s="113"/>
      <c r="AJ59" s="114"/>
      <c r="AK59" s="118"/>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0</v>
      </c>
      <c r="BI59" s="52">
        <f>AZ97/1000</f>
        <v>0</v>
      </c>
      <c r="BJ59" s="52">
        <f>BA97/1000</f>
        <v>0</v>
      </c>
      <c r="BK59" s="53">
        <f>BB97/1000</f>
        <v>0</v>
      </c>
      <c r="BL59" s="54">
        <f>BC97/1000</f>
        <v>0</v>
      </c>
      <c r="BM59" s="51">
        <f>BB98/1000</f>
        <v>0</v>
      </c>
      <c r="BN59" s="54">
        <f>BC98/1000</f>
        <v>0</v>
      </c>
      <c r="BO59" s="6"/>
      <c r="BR59" s="314"/>
      <c r="BS59" s="314"/>
      <c r="BT59" s="317"/>
      <c r="BU59" s="317"/>
      <c r="BV59" s="317"/>
      <c r="BW59" s="317"/>
      <c r="BX59" s="317"/>
      <c r="BY59" s="317"/>
      <c r="BZ59" s="317"/>
      <c r="CA59" s="314"/>
      <c r="CB59" s="6"/>
      <c r="CC59" s="6"/>
    </row>
    <row r="60" spans="1:81">
      <c r="A60" s="699"/>
      <c r="B60" s="23" t="s">
        <v>4</v>
      </c>
      <c r="C60" s="17" t="s">
        <v>19</v>
      </c>
      <c r="D60" s="57"/>
      <c r="E60" s="2"/>
      <c r="F60" s="2"/>
      <c r="G60" s="63"/>
      <c r="H60" s="2"/>
      <c r="I60" s="20"/>
      <c r="J60" s="21"/>
      <c r="K60" s="21"/>
      <c r="L60" s="22"/>
      <c r="M60" s="2"/>
      <c r="N60" s="23"/>
      <c r="O60" s="19"/>
      <c r="P60" s="19"/>
      <c r="Q60" s="19"/>
      <c r="R60" s="33"/>
      <c r="T60" s="57"/>
      <c r="U60" s="2"/>
      <c r="V60" s="2"/>
      <c r="W60" s="199"/>
      <c r="X60" s="273"/>
      <c r="Y60" s="2"/>
      <c r="Z60" s="2"/>
      <c r="AA60" s="274"/>
      <c r="AB60" s="21"/>
      <c r="AC60" s="21"/>
      <c r="AD60" s="21"/>
      <c r="AE60" s="21"/>
      <c r="AF60" s="70"/>
      <c r="AG60" s="20"/>
      <c r="AH60" s="21"/>
      <c r="AI60" s="21"/>
      <c r="AJ60" s="22"/>
      <c r="AK60" s="29"/>
      <c r="AL60" s="19"/>
      <c r="AM60" s="57"/>
      <c r="AN60" s="2"/>
      <c r="AO60" s="2"/>
      <c r="AP60" s="63"/>
      <c r="AQ60" s="68"/>
      <c r="AR60" s="21"/>
      <c r="AS60" s="21"/>
      <c r="AT60" s="21"/>
      <c r="AU60" s="25"/>
      <c r="AV60" s="21"/>
      <c r="AW60" s="22"/>
      <c r="AX60" s="2"/>
      <c r="AY60" s="23"/>
      <c r="AZ60" s="19"/>
      <c r="BA60" s="19"/>
      <c r="BB60" s="19"/>
      <c r="BC60" s="24"/>
      <c r="BD60" s="30"/>
      <c r="BG60" s="145" t="s">
        <v>73</v>
      </c>
      <c r="BH60" s="86" t="e">
        <f t="shared" ref="BH60:BN60" si="33">SUM(BH58:BH59)/BH61</f>
        <v>#DIV/0!</v>
      </c>
      <c r="BI60" s="86" t="e">
        <f t="shared" si="33"/>
        <v>#DIV/0!</v>
      </c>
      <c r="BJ60" s="86" t="e">
        <f t="shared" si="33"/>
        <v>#DIV/0!</v>
      </c>
      <c r="BK60" s="87" t="e">
        <f t="shared" si="33"/>
        <v>#DIV/0!</v>
      </c>
      <c r="BL60" s="87" t="e">
        <f t="shared" si="33"/>
        <v>#DIV/0!</v>
      </c>
      <c r="BM60" s="88" t="e">
        <f t="shared" si="33"/>
        <v>#DIV/0!</v>
      </c>
      <c r="BN60" s="87" t="e">
        <f t="shared" si="33"/>
        <v>#DIV/0!</v>
      </c>
      <c r="BR60" s="317"/>
      <c r="BS60" s="317"/>
      <c r="BT60" s="314"/>
      <c r="BU60" s="314"/>
      <c r="BV60" s="314"/>
      <c r="BW60" s="314"/>
      <c r="BX60" s="314"/>
      <c r="BY60" s="314"/>
      <c r="BZ60" s="314"/>
      <c r="CA60" s="317"/>
    </row>
    <row r="61" spans="1:81">
      <c r="A61" s="699"/>
      <c r="B61" s="23"/>
      <c r="C61" s="17" t="s">
        <v>20</v>
      </c>
      <c r="D61" s="57"/>
      <c r="E61" s="2"/>
      <c r="F61" s="2"/>
      <c r="G61" s="63"/>
      <c r="H61" s="2"/>
      <c r="I61" s="20"/>
      <c r="J61" s="21"/>
      <c r="K61" s="21"/>
      <c r="L61" s="22"/>
      <c r="M61" s="2"/>
      <c r="N61" s="23"/>
      <c r="O61" s="19"/>
      <c r="P61" s="19"/>
      <c r="Q61" s="19"/>
      <c r="R61" s="33"/>
      <c r="T61" s="57"/>
      <c r="U61" s="2"/>
      <c r="V61" s="2"/>
      <c r="W61" s="199"/>
      <c r="X61" s="273"/>
      <c r="Y61" s="2"/>
      <c r="Z61" s="2"/>
      <c r="AA61" s="274"/>
      <c r="AB61" s="724"/>
      <c r="AC61" s="21"/>
      <c r="AD61" s="21"/>
      <c r="AE61" s="21"/>
      <c r="AF61" s="70"/>
      <c r="AG61" s="20"/>
      <c r="AH61" s="21"/>
      <c r="AI61" s="21"/>
      <c r="AJ61" s="22"/>
      <c r="AK61" s="29"/>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34">SUM(BH57:BH59)</f>
        <v>0</v>
      </c>
      <c r="BI61" s="52">
        <f t="shared" si="34"/>
        <v>0</v>
      </c>
      <c r="BJ61" s="52">
        <f t="shared" si="34"/>
        <v>0</v>
      </c>
      <c r="BK61" s="74">
        <f t="shared" si="34"/>
        <v>0</v>
      </c>
      <c r="BL61" s="76">
        <f t="shared" si="34"/>
        <v>0</v>
      </c>
      <c r="BM61" s="81">
        <f t="shared" si="34"/>
        <v>0</v>
      </c>
      <c r="BN61" s="76">
        <f t="shared" si="34"/>
        <v>0</v>
      </c>
      <c r="BR61" s="317"/>
      <c r="BS61" s="317"/>
      <c r="BT61" s="317"/>
      <c r="BU61" s="317"/>
      <c r="BV61" s="317"/>
      <c r="BW61" s="317"/>
      <c r="BX61" s="317"/>
      <c r="BY61" s="317"/>
      <c r="BZ61" s="317"/>
      <c r="CA61" s="317"/>
    </row>
    <row r="62" spans="1:81">
      <c r="A62" s="699"/>
      <c r="B62" s="23"/>
      <c r="C62" s="17" t="s">
        <v>21</v>
      </c>
      <c r="D62" s="57"/>
      <c r="E62" s="2"/>
      <c r="F62" s="2"/>
      <c r="G62" s="63"/>
      <c r="H62" s="2"/>
      <c r="I62" s="20"/>
      <c r="J62" s="21"/>
      <c r="K62" s="21"/>
      <c r="L62" s="22"/>
      <c r="M62" s="2"/>
      <c r="N62" s="23"/>
      <c r="O62" s="19"/>
      <c r="P62" s="19"/>
      <c r="Q62" s="19"/>
      <c r="R62" s="33"/>
      <c r="T62" s="57"/>
      <c r="U62" s="2"/>
      <c r="V62" s="2"/>
      <c r="W62" s="199"/>
      <c r="X62" s="273"/>
      <c r="Y62" s="2"/>
      <c r="Z62" s="2"/>
      <c r="AA62" s="274"/>
      <c r="AB62" s="724"/>
      <c r="AC62" s="21"/>
      <c r="AD62" s="21"/>
      <c r="AE62" s="21"/>
      <c r="AF62" s="70"/>
      <c r="AG62" s="20"/>
      <c r="AH62" s="21"/>
      <c r="AI62" s="21"/>
      <c r="AJ62" s="22"/>
      <c r="AK62" s="29"/>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317"/>
    </row>
    <row r="63" spans="1:81" s="106" customFormat="1">
      <c r="A63" s="699"/>
      <c r="B63" s="107" t="s">
        <v>67</v>
      </c>
      <c r="C63" s="108"/>
      <c r="D63" s="109"/>
      <c r="E63" s="110"/>
      <c r="F63" s="110"/>
      <c r="G63" s="111"/>
      <c r="H63" s="110"/>
      <c r="I63" s="112"/>
      <c r="J63" s="113"/>
      <c r="K63" s="113"/>
      <c r="L63" s="114"/>
      <c r="M63" s="110"/>
      <c r="N63" s="112"/>
      <c r="O63" s="113"/>
      <c r="P63" s="113"/>
      <c r="Q63" s="114"/>
      <c r="R63" s="115"/>
      <c r="T63" s="109"/>
      <c r="U63" s="110"/>
      <c r="V63" s="2"/>
      <c r="W63" s="203"/>
      <c r="X63" s="275"/>
      <c r="Y63" s="110"/>
      <c r="Z63" s="110"/>
      <c r="AA63" s="276"/>
      <c r="AB63" s="113"/>
      <c r="AC63" s="113"/>
      <c r="AD63" s="113"/>
      <c r="AE63" s="113"/>
      <c r="AF63" s="117"/>
      <c r="AG63" s="112"/>
      <c r="AH63" s="113"/>
      <c r="AI63" s="113"/>
      <c r="AJ63" s="114"/>
      <c r="AK63" s="118"/>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7"/>
      <c r="BU63" s="317"/>
      <c r="BV63" s="317"/>
      <c r="BW63" s="317"/>
      <c r="BX63" s="317"/>
      <c r="BY63" s="317"/>
      <c r="BZ63" s="317"/>
      <c r="CA63" s="314"/>
      <c r="CB63" s="6"/>
      <c r="CC63" s="6"/>
    </row>
    <row r="64" spans="1:81">
      <c r="A64" s="699"/>
      <c r="B64" s="23" t="s">
        <v>2</v>
      </c>
      <c r="C64" s="17" t="s">
        <v>22</v>
      </c>
      <c r="D64" s="57"/>
      <c r="E64" s="2"/>
      <c r="F64" s="2"/>
      <c r="G64" s="63"/>
      <c r="H64" s="2"/>
      <c r="I64" s="20"/>
      <c r="J64" s="21"/>
      <c r="K64" s="21"/>
      <c r="L64" s="22"/>
      <c r="M64" s="2"/>
      <c r="N64" s="20"/>
      <c r="O64" s="21"/>
      <c r="P64" s="21"/>
      <c r="Q64" s="21"/>
      <c r="R64" s="34"/>
      <c r="T64" s="57"/>
      <c r="U64" s="2"/>
      <c r="V64" s="2"/>
      <c r="W64" s="199"/>
      <c r="X64" s="273"/>
      <c r="Y64" s="2"/>
      <c r="Z64" s="2"/>
      <c r="AA64" s="274"/>
      <c r="AB64" s="21"/>
      <c r="AC64" s="21"/>
      <c r="AD64" s="21"/>
      <c r="AE64" s="21"/>
      <c r="AF64" s="70"/>
      <c r="AG64" s="20"/>
      <c r="AH64" s="21"/>
      <c r="AI64" s="21"/>
      <c r="AJ64" s="22"/>
      <c r="AK64" s="29"/>
      <c r="AL64" s="19"/>
      <c r="AM64" s="57"/>
      <c r="AN64" s="2"/>
      <c r="AO64" s="2"/>
      <c r="AP64" s="63"/>
      <c r="AQ64" s="70"/>
      <c r="AR64" s="21"/>
      <c r="AS64" s="35"/>
      <c r="AT64" s="21"/>
      <c r="AU64" s="25"/>
      <c r="AV64" s="21"/>
      <c r="AW64" s="22"/>
      <c r="AX64" s="82"/>
      <c r="AY64" s="20"/>
      <c r="AZ64" s="21"/>
      <c r="BA64" s="21"/>
      <c r="BB64" s="21"/>
      <c r="BC64" s="29"/>
      <c r="BD64" s="30"/>
      <c r="BR64" s="317"/>
      <c r="BS64" s="317"/>
      <c r="BT64" s="314"/>
      <c r="BU64" s="316" t="s">
        <v>108</v>
      </c>
      <c r="BV64" s="314"/>
      <c r="BW64" s="314"/>
      <c r="BX64" s="314"/>
      <c r="BY64" s="314"/>
      <c r="BZ64" s="314"/>
      <c r="CA64" s="317"/>
    </row>
    <row r="65" spans="1:81" ht="38.25">
      <c r="A65" s="699"/>
      <c r="B65" s="23"/>
      <c r="C65" s="17" t="s">
        <v>23</v>
      </c>
      <c r="D65" s="57"/>
      <c r="E65" s="2"/>
      <c r="F65" s="2"/>
      <c r="G65" s="63"/>
      <c r="H65" s="2"/>
      <c r="I65" s="20"/>
      <c r="J65" s="21"/>
      <c r="K65" s="21"/>
      <c r="L65" s="22"/>
      <c r="M65" s="2"/>
      <c r="N65" s="20"/>
      <c r="O65" s="21"/>
      <c r="P65" s="21"/>
      <c r="Q65" s="21"/>
      <c r="R65" s="34"/>
      <c r="T65" s="201"/>
      <c r="U65" s="2"/>
      <c r="V65" s="2"/>
      <c r="W65" s="199"/>
      <c r="X65" s="273"/>
      <c r="Y65" s="2"/>
      <c r="Z65" s="2"/>
      <c r="AA65" s="274"/>
      <c r="AB65" s="21"/>
      <c r="AC65" s="21"/>
      <c r="AD65" s="21"/>
      <c r="AE65" s="21"/>
      <c r="AF65" s="70"/>
      <c r="AG65" s="20"/>
      <c r="AH65" s="21"/>
      <c r="AI65" s="21"/>
      <c r="AJ65" s="22"/>
      <c r="AK65" s="29"/>
      <c r="AL65" s="19"/>
      <c r="AM65" s="57"/>
      <c r="AN65" s="2"/>
      <c r="AO65" s="2"/>
      <c r="AP65" s="63"/>
      <c r="AQ65" s="68"/>
      <c r="AR65" s="21"/>
      <c r="AS65" s="35"/>
      <c r="AT65" s="21"/>
      <c r="AU65" s="25"/>
      <c r="AV65" s="21"/>
      <c r="AW65" s="22"/>
      <c r="AX65" s="2"/>
      <c r="AY65" s="20"/>
      <c r="AZ65" s="21"/>
      <c r="BA65" s="21"/>
      <c r="BB65" s="21"/>
      <c r="BC65" s="29"/>
      <c r="BD65" s="36"/>
      <c r="BR65" s="317"/>
      <c r="BS65" s="317"/>
      <c r="BT65" s="317"/>
      <c r="BU65" s="317"/>
      <c r="BV65" s="318" t="s">
        <v>100</v>
      </c>
      <c r="BW65" s="318" t="s">
        <v>101</v>
      </c>
      <c r="BX65" s="318" t="s">
        <v>103</v>
      </c>
      <c r="BY65" s="574" t="s">
        <v>192</v>
      </c>
      <c r="BZ65" s="574" t="s">
        <v>258</v>
      </c>
      <c r="CA65" s="317"/>
    </row>
    <row r="66" spans="1:81">
      <c r="A66" s="699"/>
      <c r="B66" s="23"/>
      <c r="C66" s="17" t="s">
        <v>24</v>
      </c>
      <c r="D66" s="57"/>
      <c r="E66" s="2"/>
      <c r="F66" s="2"/>
      <c r="G66" s="63"/>
      <c r="H66" s="2"/>
      <c r="I66" s="20"/>
      <c r="J66" s="21"/>
      <c r="K66" s="21"/>
      <c r="L66" s="22"/>
      <c r="M66" s="2"/>
      <c r="N66" s="20"/>
      <c r="O66" s="21"/>
      <c r="P66" s="21"/>
      <c r="Q66" s="21"/>
      <c r="R66" s="34"/>
      <c r="T66" s="57"/>
      <c r="U66" s="2"/>
      <c r="V66" s="2"/>
      <c r="W66" s="199"/>
      <c r="X66" s="273"/>
      <c r="Y66" s="2"/>
      <c r="Z66" s="2"/>
      <c r="AA66" s="274"/>
      <c r="AB66" s="21"/>
      <c r="AC66" s="21"/>
      <c r="AD66" s="21"/>
      <c r="AE66" s="21"/>
      <c r="AF66" s="70"/>
      <c r="AG66" s="20"/>
      <c r="AH66" s="21"/>
      <c r="AI66" s="21"/>
      <c r="AJ66" s="22"/>
      <c r="AK66" s="29"/>
      <c r="AL66" s="19"/>
      <c r="AM66" s="57"/>
      <c r="AN66" s="2"/>
      <c r="AO66" s="2"/>
      <c r="AP66" s="63"/>
      <c r="AQ66" s="70"/>
      <c r="AR66" s="21"/>
      <c r="AS66" s="35"/>
      <c r="AT66" s="21"/>
      <c r="AU66" s="25"/>
      <c r="AV66" s="21"/>
      <c r="AW66" s="22"/>
      <c r="AX66" s="2"/>
      <c r="AY66" s="20"/>
      <c r="AZ66" s="21"/>
      <c r="BA66" s="21"/>
      <c r="BB66" s="21"/>
      <c r="BC66" s="29"/>
      <c r="BR66" s="317"/>
      <c r="BS66" s="317"/>
      <c r="BT66" s="317"/>
      <c r="BU66" s="320" t="s">
        <v>72</v>
      </c>
      <c r="BV66" s="330">
        <f>BK151</f>
        <v>6990.4627906028682</v>
      </c>
      <c r="BW66" s="331">
        <f>BK104</f>
        <v>6309.437777641886</v>
      </c>
      <c r="BX66" s="331">
        <f>BK10</f>
        <v>5935.9745797020696</v>
      </c>
      <c r="BY66" s="553">
        <f>(BX66-BV66)/BV66</f>
        <v>-0.15084669534588252</v>
      </c>
      <c r="BZ66" s="594">
        <f>(BX66/BV66)^(1/4)-1</f>
        <v>-4.0054612855598415E-2</v>
      </c>
      <c r="CA66" s="317"/>
    </row>
    <row r="67" spans="1:81">
      <c r="A67" s="699"/>
      <c r="B67" s="23"/>
      <c r="C67" s="17" t="s">
        <v>25</v>
      </c>
      <c r="D67" s="57"/>
      <c r="E67" s="2"/>
      <c r="F67" s="2"/>
      <c r="G67" s="63"/>
      <c r="H67" s="2"/>
      <c r="I67" s="20"/>
      <c r="J67" s="21"/>
      <c r="K67" s="21"/>
      <c r="L67" s="22"/>
      <c r="M67" s="2"/>
      <c r="N67" s="20"/>
      <c r="O67" s="21"/>
      <c r="P67" s="21"/>
      <c r="Q67" s="21"/>
      <c r="R67" s="34"/>
      <c r="T67" s="57"/>
      <c r="U67" s="2"/>
      <c r="V67" s="2"/>
      <c r="W67" s="199"/>
      <c r="X67" s="273"/>
      <c r="Y67" s="2"/>
      <c r="Z67" s="2"/>
      <c r="AA67" s="274"/>
      <c r="AB67" s="21"/>
      <c r="AC67" s="21"/>
      <c r="AD67" s="21"/>
      <c r="AE67" s="21"/>
      <c r="AF67" s="70"/>
      <c r="AG67" s="20"/>
      <c r="AH67" s="21"/>
      <c r="AI67" s="21"/>
      <c r="AJ67" s="22"/>
      <c r="AK67" s="29"/>
      <c r="AL67" s="19"/>
      <c r="AM67" s="57"/>
      <c r="AN67" s="2"/>
      <c r="AO67" s="2"/>
      <c r="AP67" s="63"/>
      <c r="AQ67" s="68"/>
      <c r="AR67" s="21"/>
      <c r="AS67" s="35"/>
      <c r="AT67" s="21"/>
      <c r="AU67" s="25"/>
      <c r="AV67" s="21"/>
      <c r="AW67" s="22"/>
      <c r="AX67" s="83"/>
      <c r="AY67" s="20"/>
      <c r="AZ67" s="21"/>
      <c r="BA67" s="21"/>
      <c r="BB67" s="21"/>
      <c r="BC67" s="29"/>
      <c r="BR67" s="317"/>
      <c r="BS67" s="317"/>
      <c r="BT67" s="317"/>
      <c r="BU67" s="323" t="s">
        <v>68</v>
      </c>
      <c r="BV67" s="332">
        <f>BK152</f>
        <v>7994.9995679842305</v>
      </c>
      <c r="BW67" s="333">
        <f>BK105</f>
        <v>9529</v>
      </c>
      <c r="BX67" s="333">
        <f>BK11</f>
        <v>10712.5</v>
      </c>
      <c r="BY67" s="328">
        <f t="shared" ref="BY67:BY69" si="35">(BX67-BV67)/BV67</f>
        <v>0.33990000986340635</v>
      </c>
      <c r="BZ67" s="593">
        <f t="shared" ref="BZ67:BZ69" si="36">(BX67/BV67)^(1/4)-1</f>
        <v>7.5890561494229125E-2</v>
      </c>
      <c r="CA67" s="317"/>
    </row>
    <row r="68" spans="1:81">
      <c r="A68" s="699"/>
      <c r="B68" s="23"/>
      <c r="C68" s="17" t="s">
        <v>0</v>
      </c>
      <c r="D68" s="57"/>
      <c r="E68" s="2"/>
      <c r="F68" s="2"/>
      <c r="G68" s="199"/>
      <c r="H68" s="198"/>
      <c r="I68" s="112"/>
      <c r="J68" s="21"/>
      <c r="K68" s="21"/>
      <c r="L68" s="22"/>
      <c r="M68" s="2"/>
      <c r="N68" s="23"/>
      <c r="O68" s="19"/>
      <c r="P68" s="19"/>
      <c r="Q68" s="19"/>
      <c r="R68" s="34"/>
      <c r="T68" s="57"/>
      <c r="U68" s="2"/>
      <c r="V68" s="2"/>
      <c r="W68" s="199"/>
      <c r="X68" s="277"/>
      <c r="Y68" s="198"/>
      <c r="Z68" s="198"/>
      <c r="AA68" s="278"/>
      <c r="AB68" s="21"/>
      <c r="AC68" s="21"/>
      <c r="AD68" s="21"/>
      <c r="AE68" s="21"/>
      <c r="AF68" s="70"/>
      <c r="AG68" s="20"/>
      <c r="AH68" s="21"/>
      <c r="AI68" s="21"/>
      <c r="AJ68" s="22"/>
      <c r="AK68" s="29"/>
      <c r="AL68" s="19"/>
      <c r="AM68" s="57"/>
      <c r="AN68" s="2"/>
      <c r="AO68" s="2"/>
      <c r="AP68" s="63"/>
      <c r="AQ68" s="68"/>
      <c r="AR68" s="21"/>
      <c r="AS68" s="35"/>
      <c r="AT68" s="21"/>
      <c r="AU68" s="25"/>
      <c r="AV68" s="21"/>
      <c r="AW68" s="22"/>
      <c r="AX68" s="2"/>
      <c r="AY68" s="23"/>
      <c r="AZ68" s="19"/>
      <c r="BA68" s="19"/>
      <c r="BB68" s="21"/>
      <c r="BC68" s="24"/>
      <c r="BR68" s="317"/>
      <c r="BS68" s="317"/>
      <c r="BT68" s="317"/>
      <c r="BU68" s="323" t="s">
        <v>69</v>
      </c>
      <c r="BV68" s="332">
        <f>BK153</f>
        <v>350.49172785579788</v>
      </c>
      <c r="BW68" s="333">
        <f>BK106</f>
        <v>423.02290780543615</v>
      </c>
      <c r="BX68" s="333">
        <f>BK12</f>
        <v>482.52508114911836</v>
      </c>
      <c r="BY68" s="328">
        <f t="shared" si="35"/>
        <v>0.37670890009604652</v>
      </c>
      <c r="BZ68" s="593">
        <f t="shared" si="36"/>
        <v>8.3204685707662263E-2</v>
      </c>
      <c r="CA68" s="314"/>
    </row>
    <row r="69" spans="1:81" s="106" customFormat="1">
      <c r="A69" s="699"/>
      <c r="B69" s="107" t="s">
        <v>67</v>
      </c>
      <c r="C69" s="108"/>
      <c r="D69" s="109"/>
      <c r="E69" s="110"/>
      <c r="F69" s="110"/>
      <c r="G69" s="111"/>
      <c r="H69" s="110"/>
      <c r="I69" s="112"/>
      <c r="J69" s="113"/>
      <c r="K69" s="113"/>
      <c r="L69" s="114"/>
      <c r="M69" s="110"/>
      <c r="N69" s="112"/>
      <c r="O69" s="113"/>
      <c r="P69" s="113"/>
      <c r="Q69" s="114"/>
      <c r="R69" s="115"/>
      <c r="T69" s="109"/>
      <c r="U69" s="110"/>
      <c r="V69" s="2"/>
      <c r="W69" s="203"/>
      <c r="X69" s="275"/>
      <c r="Y69" s="110"/>
      <c r="Z69" s="110"/>
      <c r="AA69" s="276"/>
      <c r="AB69" s="113"/>
      <c r="AC69" s="113"/>
      <c r="AD69" s="21"/>
      <c r="AE69" s="113"/>
      <c r="AF69" s="117"/>
      <c r="AG69" s="112"/>
      <c r="AH69" s="113"/>
      <c r="AI69" s="113"/>
      <c r="AJ69" s="114"/>
      <c r="AK69" s="118"/>
      <c r="AL69" s="119"/>
      <c r="AM69" s="109"/>
      <c r="AN69" s="110"/>
      <c r="AO69" s="110"/>
      <c r="AP69" s="111"/>
      <c r="AQ69" s="116"/>
      <c r="AR69" s="113"/>
      <c r="AS69" s="113"/>
      <c r="AT69" s="113"/>
      <c r="AU69" s="120"/>
      <c r="AV69" s="113"/>
      <c r="AW69" s="114"/>
      <c r="AX69" s="110"/>
      <c r="AY69" s="241"/>
      <c r="AZ69" s="242"/>
      <c r="BA69" s="242"/>
      <c r="BB69" s="243"/>
      <c r="BC69" s="118"/>
      <c r="BD69" s="122"/>
      <c r="BG69" s="146"/>
      <c r="BH69" s="138" t="s">
        <v>72</v>
      </c>
      <c r="BI69" s="138" t="s">
        <v>68</v>
      </c>
      <c r="BJ69" s="138" t="s">
        <v>69</v>
      </c>
      <c r="BK69" s="138" t="s">
        <v>73</v>
      </c>
      <c r="BL69" s="138" t="s">
        <v>78</v>
      </c>
      <c r="BM69" s="6"/>
      <c r="BN69" s="6"/>
      <c r="BO69" s="6"/>
      <c r="BR69" s="314"/>
      <c r="BS69" s="314"/>
      <c r="BT69" s="314"/>
      <c r="BU69" s="576" t="s">
        <v>191</v>
      </c>
      <c r="BV69" s="577">
        <f>SUM(BV66:BV68)</f>
        <v>15335.954086442896</v>
      </c>
      <c r="BW69" s="579">
        <f t="shared" ref="BW69" si="37">SUM(BW66:BW68)</f>
        <v>16261.460685447322</v>
      </c>
      <c r="BX69" s="579">
        <f t="shared" ref="BX69" si="38">SUM(BX66:BX68)</f>
        <v>17130.999660851186</v>
      </c>
      <c r="BY69" s="580">
        <f t="shared" si="35"/>
        <v>0.11704818391410839</v>
      </c>
      <c r="BZ69" s="652">
        <f t="shared" si="36"/>
        <v>2.8058851580461175E-2</v>
      </c>
      <c r="CA69" s="314"/>
      <c r="CB69" s="6"/>
      <c r="CC69" s="6"/>
    </row>
    <row r="70" spans="1:81">
      <c r="A70" s="699"/>
      <c r="B70" s="23" t="s">
        <v>5</v>
      </c>
      <c r="C70" s="17" t="s">
        <v>26</v>
      </c>
      <c r="D70" s="57"/>
      <c r="E70" s="2"/>
      <c r="F70" s="2"/>
      <c r="G70" s="63"/>
      <c r="H70" s="2"/>
      <c r="I70" s="20"/>
      <c r="J70" s="21"/>
      <c r="K70" s="21"/>
      <c r="L70" s="22"/>
      <c r="M70" s="2"/>
      <c r="N70" s="23"/>
      <c r="O70" s="19"/>
      <c r="P70" s="19"/>
      <c r="Q70" s="19"/>
      <c r="R70" s="33"/>
      <c r="T70" s="57"/>
      <c r="U70" s="2"/>
      <c r="V70" s="2"/>
      <c r="W70" s="199"/>
      <c r="X70" s="273"/>
      <c r="Y70" s="2"/>
      <c r="Z70" s="2"/>
      <c r="AA70" s="274"/>
      <c r="AB70" s="21"/>
      <c r="AC70" s="21"/>
      <c r="AD70" s="21"/>
      <c r="AE70" s="21"/>
      <c r="AF70" s="70"/>
      <c r="AG70" s="20"/>
      <c r="AH70" s="21"/>
      <c r="AI70" s="21"/>
      <c r="AJ70" s="22"/>
      <c r="AK70" s="29"/>
      <c r="AL70" s="19"/>
      <c r="AM70" s="57"/>
      <c r="AN70" s="2"/>
      <c r="AO70" s="2"/>
      <c r="AP70" s="63"/>
      <c r="AQ70" s="68"/>
      <c r="AR70" s="21"/>
      <c r="AS70" s="21"/>
      <c r="AT70" s="21"/>
      <c r="AU70" s="240"/>
      <c r="AV70" s="19"/>
      <c r="AW70" s="195"/>
      <c r="AX70" s="2"/>
      <c r="AY70" s="238"/>
      <c r="BB70" s="19"/>
      <c r="BC70" s="24"/>
      <c r="BG70" s="147" t="s">
        <v>3</v>
      </c>
      <c r="BH70" s="52">
        <f>Q59/1000</f>
        <v>0</v>
      </c>
      <c r="BI70" s="52">
        <f>AJ59/1000</f>
        <v>0</v>
      </c>
      <c r="BJ70" s="52">
        <f>BB59/1000</f>
        <v>0</v>
      </c>
      <c r="BK70" s="137" t="e">
        <f>SUM(BI70:BJ70)/BL70</f>
        <v>#DIV/0!</v>
      </c>
      <c r="BL70" s="52">
        <f>SUM(BH70:BJ70)</f>
        <v>0</v>
      </c>
      <c r="BR70" s="317"/>
      <c r="BS70" s="317"/>
      <c r="BT70" s="314"/>
      <c r="BU70" s="314"/>
      <c r="BV70" s="314"/>
      <c r="BW70" s="314"/>
      <c r="BX70" s="314"/>
      <c r="BY70" s="314"/>
      <c r="BZ70" s="314"/>
      <c r="CA70" s="317"/>
    </row>
    <row r="71" spans="1:81">
      <c r="A71" s="699"/>
      <c r="B71" s="23"/>
      <c r="C71" s="17" t="s">
        <v>27</v>
      </c>
      <c r="D71" s="57"/>
      <c r="E71" s="2"/>
      <c r="F71" s="2"/>
      <c r="G71" s="63"/>
      <c r="H71" s="2"/>
      <c r="I71" s="20"/>
      <c r="J71" s="21"/>
      <c r="K71" s="21"/>
      <c r="L71" s="22"/>
      <c r="M71" s="2"/>
      <c r="N71" s="23"/>
      <c r="O71" s="19"/>
      <c r="P71" s="19"/>
      <c r="Q71" s="19"/>
      <c r="R71" s="33"/>
      <c r="T71" s="57"/>
      <c r="U71" s="2"/>
      <c r="V71" s="2"/>
      <c r="W71" s="199"/>
      <c r="X71" s="273"/>
      <c r="Y71" s="2"/>
      <c r="Z71" s="2"/>
      <c r="AA71" s="274"/>
      <c r="AB71" s="21"/>
      <c r="AC71" s="21"/>
      <c r="AD71" s="21"/>
      <c r="AE71" s="21"/>
      <c r="AF71" s="70"/>
      <c r="AG71" s="20"/>
      <c r="AH71" s="21"/>
      <c r="AI71" s="21"/>
      <c r="AJ71" s="22"/>
      <c r="AK71" s="29"/>
      <c r="AL71" s="19"/>
      <c r="AM71" s="57"/>
      <c r="AN71" s="2"/>
      <c r="AO71" s="2"/>
      <c r="AP71" s="63"/>
      <c r="AQ71" s="68"/>
      <c r="AR71" s="21"/>
      <c r="AS71" s="21"/>
      <c r="AT71" s="21"/>
      <c r="AU71" s="240"/>
      <c r="AV71" s="19"/>
      <c r="AW71" s="195"/>
      <c r="AX71" s="2"/>
      <c r="AY71" s="238"/>
      <c r="BB71" s="19"/>
      <c r="BC71" s="24"/>
      <c r="BG71" s="147" t="s">
        <v>4</v>
      </c>
      <c r="BH71" s="52">
        <f>Q63/1000</f>
        <v>0</v>
      </c>
      <c r="BI71" s="52">
        <f>AJ63/1000</f>
        <v>0</v>
      </c>
      <c r="BJ71" s="52">
        <f>BB63/1000</f>
        <v>0</v>
      </c>
      <c r="BK71" s="137" t="e">
        <f t="shared" ref="BK71:BK78" si="39">SUM(BI71:BJ71)/BL71</f>
        <v>#DIV/0!</v>
      </c>
      <c r="BL71" s="52">
        <f t="shared" ref="BL71:BL78" si="40">SUM(BH71:BJ71)</f>
        <v>0</v>
      </c>
      <c r="BR71" s="317"/>
      <c r="BS71" s="317"/>
      <c r="BT71" s="317"/>
      <c r="BU71" s="317"/>
      <c r="BV71" s="317"/>
      <c r="BW71" s="317"/>
      <c r="BX71" s="317"/>
      <c r="BY71" s="317"/>
      <c r="BZ71" s="317"/>
      <c r="CA71" s="317"/>
    </row>
    <row r="72" spans="1:81">
      <c r="A72" s="699"/>
      <c r="B72" s="23"/>
      <c r="C72" s="17" t="s">
        <v>28</v>
      </c>
      <c r="D72" s="57"/>
      <c r="E72" s="2"/>
      <c r="F72" s="2"/>
      <c r="G72" s="63"/>
      <c r="H72" s="2"/>
      <c r="I72" s="20"/>
      <c r="J72" s="21"/>
      <c r="K72" s="21"/>
      <c r="L72" s="22"/>
      <c r="M72" s="2"/>
      <c r="N72" s="23"/>
      <c r="O72" s="19"/>
      <c r="P72" s="19"/>
      <c r="Q72" s="19"/>
      <c r="R72" s="33"/>
      <c r="T72" s="57"/>
      <c r="U72" s="2"/>
      <c r="V72" s="2"/>
      <c r="W72" s="199"/>
      <c r="X72" s="273"/>
      <c r="Y72" s="2"/>
      <c r="Z72" s="2"/>
      <c r="AA72" s="274"/>
      <c r="AB72" s="21"/>
      <c r="AC72" s="21"/>
      <c r="AD72" s="21"/>
      <c r="AE72" s="21"/>
      <c r="AF72" s="70"/>
      <c r="AG72" s="20"/>
      <c r="AH72" s="21"/>
      <c r="AI72" s="21"/>
      <c r="AJ72" s="22"/>
      <c r="AK72" s="29"/>
      <c r="AL72" s="19"/>
      <c r="AM72" s="57"/>
      <c r="AN72" s="2"/>
      <c r="AO72" s="2"/>
      <c r="AP72" s="63"/>
      <c r="AQ72" s="68"/>
      <c r="AR72" s="21"/>
      <c r="AS72" s="21"/>
      <c r="AT72" s="21"/>
      <c r="AU72" s="240"/>
      <c r="AV72" s="19"/>
      <c r="AW72" s="195"/>
      <c r="AX72" s="2"/>
      <c r="AY72" s="238"/>
      <c r="BB72" s="19"/>
      <c r="BC72" s="24"/>
      <c r="BG72" s="147" t="s">
        <v>2</v>
      </c>
      <c r="BH72" s="52">
        <f>Q69/1000</f>
        <v>0</v>
      </c>
      <c r="BI72" s="52">
        <f>AJ69/1000</f>
        <v>0</v>
      </c>
      <c r="BJ72" s="52">
        <f>BB69/1000</f>
        <v>0</v>
      </c>
      <c r="BK72" s="137" t="e">
        <f t="shared" si="39"/>
        <v>#DIV/0!</v>
      </c>
      <c r="BL72" s="52">
        <f t="shared" si="40"/>
        <v>0</v>
      </c>
      <c r="BR72" s="317"/>
      <c r="BS72" s="317"/>
      <c r="BT72" s="317"/>
      <c r="BU72" s="317"/>
      <c r="BV72" s="317"/>
      <c r="BW72" s="317"/>
      <c r="BX72" s="317"/>
      <c r="BY72" s="317"/>
      <c r="BZ72" s="317"/>
      <c r="CA72" s="317"/>
    </row>
    <row r="73" spans="1:81">
      <c r="A73" s="699"/>
      <c r="B73" s="23"/>
      <c r="C73" s="17" t="s">
        <v>29</v>
      </c>
      <c r="D73" s="57"/>
      <c r="E73" s="2"/>
      <c r="F73" s="2"/>
      <c r="G73" s="63"/>
      <c r="H73" s="2"/>
      <c r="I73" s="20"/>
      <c r="J73" s="21"/>
      <c r="K73" s="21"/>
      <c r="L73" s="22"/>
      <c r="M73" s="2"/>
      <c r="N73" s="23"/>
      <c r="O73" s="19"/>
      <c r="P73" s="19"/>
      <c r="Q73" s="19"/>
      <c r="R73" s="33"/>
      <c r="T73" s="57"/>
      <c r="U73" s="2"/>
      <c r="V73" s="2"/>
      <c r="W73" s="199"/>
      <c r="X73" s="273"/>
      <c r="Y73" s="2"/>
      <c r="Z73" s="2"/>
      <c r="AA73" s="274"/>
      <c r="AB73" s="21"/>
      <c r="AC73" s="21"/>
      <c r="AD73" s="21"/>
      <c r="AE73" s="21"/>
      <c r="AF73" s="70"/>
      <c r="AG73" s="20"/>
      <c r="AH73" s="21"/>
      <c r="AI73" s="21"/>
      <c r="AJ73" s="22"/>
      <c r="AK73" s="29"/>
      <c r="AL73" s="19"/>
      <c r="AM73" s="57"/>
      <c r="AN73" s="2"/>
      <c r="AO73" s="2"/>
      <c r="AP73" s="63"/>
      <c r="AQ73" s="68"/>
      <c r="AR73" s="21"/>
      <c r="AS73" s="21"/>
      <c r="AT73" s="21"/>
      <c r="AU73" s="240"/>
      <c r="AV73" s="19"/>
      <c r="AW73" s="195"/>
      <c r="AX73" s="2"/>
      <c r="AY73" s="238"/>
      <c r="BB73" s="19"/>
      <c r="BC73" s="24"/>
      <c r="BG73" s="147" t="s">
        <v>5</v>
      </c>
      <c r="BH73" s="52">
        <f>Q74/1000</f>
        <v>0</v>
      </c>
      <c r="BI73" s="52">
        <f>AJ74/1000</f>
        <v>0</v>
      </c>
      <c r="BJ73" s="52">
        <f>BB74/1000</f>
        <v>0</v>
      </c>
      <c r="BK73" s="137" t="e">
        <f t="shared" si="39"/>
        <v>#DIV/0!</v>
      </c>
      <c r="BL73" s="52">
        <f t="shared" si="40"/>
        <v>0</v>
      </c>
      <c r="BR73" s="317"/>
      <c r="BS73" s="317"/>
      <c r="BT73" s="317"/>
      <c r="BU73" s="317"/>
      <c r="BV73" s="317"/>
      <c r="BW73" s="317"/>
      <c r="BX73" s="317"/>
      <c r="BY73" s="317"/>
      <c r="BZ73" s="317"/>
      <c r="CA73" s="317"/>
    </row>
    <row r="74" spans="1:81" s="106" customFormat="1">
      <c r="A74" s="699"/>
      <c r="B74" s="107" t="s">
        <v>67</v>
      </c>
      <c r="C74" s="108"/>
      <c r="D74" s="109"/>
      <c r="E74" s="110"/>
      <c r="F74" s="110"/>
      <c r="G74" s="111"/>
      <c r="H74" s="110"/>
      <c r="I74" s="112"/>
      <c r="J74" s="113"/>
      <c r="K74" s="113"/>
      <c r="L74" s="114"/>
      <c r="M74" s="110"/>
      <c r="N74" s="112"/>
      <c r="O74" s="113"/>
      <c r="P74" s="113"/>
      <c r="Q74" s="114"/>
      <c r="R74" s="115"/>
      <c r="T74" s="109"/>
      <c r="U74" s="110"/>
      <c r="V74" s="2"/>
      <c r="W74" s="203"/>
      <c r="X74" s="275"/>
      <c r="Y74" s="110"/>
      <c r="Z74" s="110"/>
      <c r="AA74" s="276"/>
      <c r="AB74" s="113"/>
      <c r="AC74" s="113"/>
      <c r="AD74" s="113"/>
      <c r="AE74" s="113"/>
      <c r="AF74" s="117"/>
      <c r="AG74" s="112"/>
      <c r="AH74" s="113"/>
      <c r="AI74" s="113"/>
      <c r="AJ74" s="114"/>
      <c r="AK74" s="118"/>
      <c r="AL74" s="119"/>
      <c r="AM74" s="109"/>
      <c r="AN74" s="110"/>
      <c r="AO74" s="110"/>
      <c r="AP74" s="111"/>
      <c r="AQ74" s="117"/>
      <c r="AR74" s="113"/>
      <c r="AS74" s="123"/>
      <c r="AT74" s="113"/>
      <c r="AU74" s="120"/>
      <c r="AV74" s="113"/>
      <c r="AW74" s="114"/>
      <c r="AX74" s="110"/>
      <c r="AY74" s="241"/>
      <c r="AZ74" s="242"/>
      <c r="BA74" s="242"/>
      <c r="BB74" s="114"/>
      <c r="BC74" s="118"/>
      <c r="BD74" s="122"/>
      <c r="BG74" s="147" t="s">
        <v>6</v>
      </c>
      <c r="BH74" s="52">
        <f>Q84/1000</f>
        <v>0</v>
      </c>
      <c r="BI74" s="52">
        <f>AJ84/1000</f>
        <v>0</v>
      </c>
      <c r="BJ74" s="52">
        <f>BB84/1000</f>
        <v>0</v>
      </c>
      <c r="BK74" s="137" t="e">
        <f t="shared" si="39"/>
        <v>#DIV/0!</v>
      </c>
      <c r="BL74" s="52">
        <f t="shared" si="40"/>
        <v>0</v>
      </c>
      <c r="BM74" s="6"/>
      <c r="BN74" s="6"/>
      <c r="BO74" s="6"/>
      <c r="BR74" s="314"/>
      <c r="BS74" s="314"/>
      <c r="BT74" s="317"/>
      <c r="BU74" s="317"/>
      <c r="BV74" s="317"/>
      <c r="BW74" s="317"/>
      <c r="BX74" s="317"/>
      <c r="BY74" s="317"/>
      <c r="BZ74" s="317"/>
      <c r="CA74" s="317"/>
      <c r="CB74" s="6"/>
      <c r="CC74" s="6"/>
    </row>
    <row r="75" spans="1:81">
      <c r="A75" s="699"/>
      <c r="B75" s="23" t="s">
        <v>6</v>
      </c>
      <c r="C75" s="17" t="s">
        <v>30</v>
      </c>
      <c r="D75" s="57"/>
      <c r="E75" s="2"/>
      <c r="F75" s="2"/>
      <c r="G75" s="63"/>
      <c r="H75" s="2"/>
      <c r="I75" s="20"/>
      <c r="J75" s="21"/>
      <c r="K75" s="21"/>
      <c r="L75" s="22"/>
      <c r="M75" s="2"/>
      <c r="N75" s="23"/>
      <c r="O75" s="19"/>
      <c r="P75" s="19"/>
      <c r="Q75" s="19"/>
      <c r="R75" s="33"/>
      <c r="T75" s="57"/>
      <c r="U75" s="2"/>
      <c r="V75" s="2"/>
      <c r="W75" s="199"/>
      <c r="X75" s="273"/>
      <c r="Y75" s="2"/>
      <c r="Z75" s="2"/>
      <c r="AA75" s="274"/>
      <c r="AB75" s="21"/>
      <c r="AC75" s="21"/>
      <c r="AD75" s="21"/>
      <c r="AE75" s="21"/>
      <c r="AF75" s="70"/>
      <c r="AG75" s="20"/>
      <c r="AH75" s="21"/>
      <c r="AI75" s="21"/>
      <c r="AJ75" s="22"/>
      <c r="AK75" s="29"/>
      <c r="AL75" s="19"/>
      <c r="AM75" s="57"/>
      <c r="AN75" s="2"/>
      <c r="AO75" s="2"/>
      <c r="AP75" s="63"/>
      <c r="AQ75" s="68"/>
      <c r="AR75" s="21"/>
      <c r="AS75" s="21"/>
      <c r="AT75" s="21"/>
      <c r="AU75" s="240"/>
      <c r="AV75" s="19"/>
      <c r="AW75" s="195"/>
      <c r="AX75" s="2"/>
      <c r="AY75" s="238"/>
      <c r="BB75" s="19"/>
      <c r="BC75" s="24"/>
      <c r="BG75" s="147" t="s">
        <v>8</v>
      </c>
      <c r="BH75" s="52">
        <f>Q85/1000</f>
        <v>0</v>
      </c>
      <c r="BI75" s="52">
        <f>AJ85/1000</f>
        <v>0</v>
      </c>
      <c r="BJ75" s="52">
        <f>BB85/1000</f>
        <v>0</v>
      </c>
      <c r="BK75" s="137" t="e">
        <f t="shared" si="39"/>
        <v>#DIV/0!</v>
      </c>
      <c r="BL75" s="52">
        <f t="shared" si="40"/>
        <v>0</v>
      </c>
      <c r="BR75" s="317"/>
      <c r="BS75" s="317"/>
      <c r="BT75" s="317"/>
      <c r="BU75" s="317"/>
      <c r="BV75" s="317"/>
      <c r="BW75" s="317"/>
      <c r="BX75" s="317"/>
      <c r="BY75" s="317"/>
      <c r="BZ75" s="317"/>
      <c r="CA75" s="317"/>
    </row>
    <row r="76" spans="1:81">
      <c r="A76" s="699"/>
      <c r="B76" s="23"/>
      <c r="C76" s="17" t="s">
        <v>31</v>
      </c>
      <c r="D76" s="57"/>
      <c r="E76" s="2"/>
      <c r="F76" s="2"/>
      <c r="G76" s="63"/>
      <c r="H76" s="2"/>
      <c r="I76" s="20"/>
      <c r="J76" s="21"/>
      <c r="K76" s="21"/>
      <c r="L76" s="22"/>
      <c r="M76" s="2"/>
      <c r="N76" s="23"/>
      <c r="O76" s="19"/>
      <c r="P76" s="19"/>
      <c r="Q76" s="19"/>
      <c r="R76" s="33"/>
      <c r="T76" s="57"/>
      <c r="U76" s="2"/>
      <c r="V76" s="2"/>
      <c r="W76" s="199"/>
      <c r="X76" s="273"/>
      <c r="Y76" s="2"/>
      <c r="Z76" s="2"/>
      <c r="AA76" s="274"/>
      <c r="AB76" s="21"/>
      <c r="AC76" s="21"/>
      <c r="AD76" s="21"/>
      <c r="AE76" s="21"/>
      <c r="AF76" s="70"/>
      <c r="AG76" s="20"/>
      <c r="AH76" s="21"/>
      <c r="AI76" s="21"/>
      <c r="AJ76" s="22"/>
      <c r="AK76" s="29"/>
      <c r="AL76" s="19"/>
      <c r="AM76" s="57"/>
      <c r="AN76" s="2"/>
      <c r="AO76" s="2"/>
      <c r="AP76" s="63"/>
      <c r="AQ76" s="68"/>
      <c r="AR76" s="21"/>
      <c r="AS76" s="21"/>
      <c r="AT76" s="21"/>
      <c r="AU76" s="240"/>
      <c r="AV76" s="19"/>
      <c r="AW76" s="195"/>
      <c r="AX76" s="2"/>
      <c r="AY76" s="238"/>
      <c r="BB76" s="19"/>
      <c r="BC76" s="24"/>
      <c r="BG76" s="147" t="s">
        <v>7</v>
      </c>
      <c r="BH76" s="52">
        <f>Q88/1000</f>
        <v>0</v>
      </c>
      <c r="BI76" s="52">
        <f>AJ88/1000</f>
        <v>0</v>
      </c>
      <c r="BJ76" s="52">
        <f>BB88/1000</f>
        <v>0</v>
      </c>
      <c r="BK76" s="137" t="e">
        <f t="shared" si="39"/>
        <v>#DIV/0!</v>
      </c>
      <c r="BL76" s="52">
        <f t="shared" si="40"/>
        <v>0</v>
      </c>
      <c r="BR76" s="317"/>
      <c r="BS76" s="317"/>
      <c r="BT76" s="317"/>
      <c r="BU76" s="317"/>
      <c r="BV76" s="317"/>
      <c r="BW76" s="317"/>
      <c r="BX76" s="317"/>
      <c r="BY76" s="317"/>
      <c r="BZ76" s="317"/>
      <c r="CA76" s="317"/>
    </row>
    <row r="77" spans="1:81">
      <c r="A77" s="699"/>
      <c r="B77" s="23"/>
      <c r="C77" s="17" t="s">
        <v>32</v>
      </c>
      <c r="D77" s="57"/>
      <c r="E77" s="2"/>
      <c r="F77" s="2"/>
      <c r="G77" s="63"/>
      <c r="H77" s="2"/>
      <c r="I77" s="20"/>
      <c r="J77" s="21"/>
      <c r="K77" s="21"/>
      <c r="L77" s="22"/>
      <c r="M77" s="2"/>
      <c r="N77" s="23"/>
      <c r="O77" s="19"/>
      <c r="P77" s="19"/>
      <c r="Q77" s="19"/>
      <c r="R77" s="33"/>
      <c r="T77" s="57"/>
      <c r="U77" s="2"/>
      <c r="V77" s="2"/>
      <c r="W77" s="199"/>
      <c r="X77" s="273"/>
      <c r="Y77" s="2"/>
      <c r="Z77" s="2"/>
      <c r="AA77" s="274"/>
      <c r="AB77" s="21"/>
      <c r="AC77" s="21"/>
      <c r="AD77" s="21"/>
      <c r="AE77" s="21"/>
      <c r="AF77" s="70"/>
      <c r="AG77" s="20"/>
      <c r="AH77" s="21"/>
      <c r="AI77" s="21"/>
      <c r="AJ77" s="22"/>
      <c r="AK77" s="29"/>
      <c r="AL77" s="19"/>
      <c r="AM77" s="57"/>
      <c r="AN77" s="2"/>
      <c r="AO77" s="2"/>
      <c r="AP77" s="63"/>
      <c r="AQ77" s="68"/>
      <c r="AR77" s="21"/>
      <c r="AS77" s="21"/>
      <c r="AT77" s="21"/>
      <c r="AU77" s="240"/>
      <c r="AV77" s="19"/>
      <c r="AW77" s="195"/>
      <c r="AX77" s="2"/>
      <c r="AY77" s="238"/>
      <c r="BB77" s="19"/>
      <c r="BC77" s="24"/>
      <c r="BG77" s="147" t="s">
        <v>11</v>
      </c>
      <c r="BH77" s="52">
        <f>Q93/1000</f>
        <v>0</v>
      </c>
      <c r="BI77" s="52">
        <f>AJ93/1000</f>
        <v>0</v>
      </c>
      <c r="BJ77" s="52">
        <f>BB93/1000</f>
        <v>0</v>
      </c>
      <c r="BK77" s="137" t="e">
        <f t="shared" si="39"/>
        <v>#DIV/0!</v>
      </c>
      <c r="BL77" s="52">
        <f t="shared" si="40"/>
        <v>0</v>
      </c>
      <c r="BR77" s="317"/>
      <c r="BS77" s="317"/>
      <c r="BT77" s="325"/>
      <c r="BU77" s="325"/>
      <c r="BV77" s="317"/>
      <c r="BW77" s="317"/>
      <c r="BX77" s="317"/>
      <c r="BY77" s="317"/>
      <c r="BZ77" s="317"/>
      <c r="CA77" s="317"/>
    </row>
    <row r="78" spans="1:81" s="90" customFormat="1">
      <c r="A78" s="699"/>
      <c r="B78" s="91" t="s">
        <v>42</v>
      </c>
      <c r="C78" s="92"/>
      <c r="D78" s="93"/>
      <c r="E78" s="94"/>
      <c r="F78" s="94"/>
      <c r="G78" s="95"/>
      <c r="H78" s="94"/>
      <c r="I78" s="96"/>
      <c r="J78" s="97"/>
      <c r="K78" s="97"/>
      <c r="L78" s="98"/>
      <c r="M78" s="94"/>
      <c r="N78" s="96"/>
      <c r="O78" s="97"/>
      <c r="P78" s="97"/>
      <c r="Q78" s="97"/>
      <c r="R78" s="99"/>
      <c r="T78" s="93"/>
      <c r="U78" s="94"/>
      <c r="V78" s="2"/>
      <c r="W78" s="211"/>
      <c r="X78" s="279"/>
      <c r="Y78" s="94"/>
      <c r="Z78" s="94"/>
      <c r="AA78" s="280"/>
      <c r="AB78" s="97"/>
      <c r="AC78" s="97"/>
      <c r="AD78" s="21"/>
      <c r="AE78" s="97"/>
      <c r="AF78" s="101"/>
      <c r="AG78" s="96"/>
      <c r="AH78" s="97"/>
      <c r="AI78" s="97"/>
      <c r="AJ78" s="98"/>
      <c r="AK78" s="102"/>
      <c r="AL78" s="103"/>
      <c r="AM78" s="93"/>
      <c r="AN78" s="94"/>
      <c r="AO78" s="94"/>
      <c r="AP78" s="95"/>
      <c r="AQ78" s="100"/>
      <c r="AR78" s="97"/>
      <c r="AS78" s="128"/>
      <c r="AT78" s="128"/>
      <c r="AU78" s="104"/>
      <c r="AV78" s="97"/>
      <c r="AW78" s="98"/>
      <c r="AX78" s="94"/>
      <c r="AY78" s="239"/>
      <c r="BB78" s="97"/>
      <c r="BC78" s="105"/>
      <c r="BG78" s="147" t="s">
        <v>1</v>
      </c>
      <c r="BH78" s="52">
        <f>Q94/1000</f>
        <v>0</v>
      </c>
      <c r="BI78" s="52">
        <f>AJ94/1000</f>
        <v>0</v>
      </c>
      <c r="BJ78" s="52">
        <f>BB94/1000</f>
        <v>0</v>
      </c>
      <c r="BK78" s="137" t="e">
        <f t="shared" si="39"/>
        <v>#DIV/0!</v>
      </c>
      <c r="BL78" s="52">
        <f t="shared" si="40"/>
        <v>0</v>
      </c>
      <c r="BM78" s="6"/>
      <c r="BN78" s="6"/>
      <c r="BO78" s="6"/>
      <c r="BR78" s="334"/>
      <c r="BS78" s="334"/>
      <c r="BT78" s="326"/>
      <c r="BU78" s="326"/>
      <c r="BV78" s="317"/>
      <c r="BW78" s="317"/>
      <c r="BX78" s="317"/>
      <c r="BY78" s="317"/>
      <c r="BZ78" s="317"/>
      <c r="CA78" s="317"/>
      <c r="CB78" s="6"/>
      <c r="CC78" s="6"/>
    </row>
    <row r="79" spans="1:81">
      <c r="A79" s="699"/>
      <c r="B79" s="23"/>
      <c r="C79" s="17" t="s">
        <v>33</v>
      </c>
      <c r="D79" s="57"/>
      <c r="E79" s="2"/>
      <c r="F79" s="2"/>
      <c r="G79" s="63"/>
      <c r="H79" s="2"/>
      <c r="I79" s="20"/>
      <c r="J79" s="21"/>
      <c r="K79" s="21"/>
      <c r="L79" s="22"/>
      <c r="M79" s="2"/>
      <c r="N79" s="23"/>
      <c r="O79" s="19"/>
      <c r="P79" s="19"/>
      <c r="Q79" s="19"/>
      <c r="R79" s="33"/>
      <c r="T79" s="57"/>
      <c r="U79" s="2"/>
      <c r="V79" s="2"/>
      <c r="W79" s="199"/>
      <c r="X79" s="273"/>
      <c r="Y79" s="2"/>
      <c r="Z79" s="2"/>
      <c r="AA79" s="274"/>
      <c r="AB79" s="21"/>
      <c r="AC79" s="21"/>
      <c r="AD79" s="21"/>
      <c r="AE79" s="21"/>
      <c r="AF79" s="70"/>
      <c r="AG79" s="20"/>
      <c r="AH79" s="21"/>
      <c r="AI79" s="21"/>
      <c r="AJ79" s="22"/>
      <c r="AK79" s="29"/>
      <c r="AL79" s="19"/>
      <c r="AM79" s="57"/>
      <c r="AN79" s="2"/>
      <c r="AO79" s="2"/>
      <c r="AP79" s="63"/>
      <c r="AQ79" s="68"/>
      <c r="AR79" s="21"/>
      <c r="AS79" s="21"/>
      <c r="AT79" s="21"/>
      <c r="AU79" s="240"/>
      <c r="AV79" s="19"/>
      <c r="AW79" s="195"/>
      <c r="AX79" s="2"/>
      <c r="AY79" s="238"/>
      <c r="BB79" s="19"/>
      <c r="BC79" s="24"/>
      <c r="BG79" s="142"/>
      <c r="BR79" s="317"/>
      <c r="BS79" s="317"/>
      <c r="BT79" s="328"/>
      <c r="BU79" s="329"/>
      <c r="BV79" s="317"/>
      <c r="BW79" s="317"/>
      <c r="BX79" s="317"/>
      <c r="BY79" s="317"/>
      <c r="BZ79" s="317"/>
      <c r="CA79" s="317"/>
    </row>
    <row r="80" spans="1:81">
      <c r="A80" s="699"/>
      <c r="B80" s="23"/>
      <c r="C80" s="17" t="s">
        <v>34</v>
      </c>
      <c r="D80" s="57"/>
      <c r="E80" s="2"/>
      <c r="F80" s="2"/>
      <c r="G80" s="63"/>
      <c r="H80" s="2"/>
      <c r="I80" s="20"/>
      <c r="J80" s="21"/>
      <c r="K80" s="21"/>
      <c r="L80" s="22"/>
      <c r="M80" s="2"/>
      <c r="N80" s="23"/>
      <c r="O80" s="19"/>
      <c r="P80" s="19"/>
      <c r="Q80" s="19"/>
      <c r="R80" s="33"/>
      <c r="T80" s="57"/>
      <c r="U80" s="2"/>
      <c r="V80" s="2"/>
      <c r="W80" s="199"/>
      <c r="X80" s="273"/>
      <c r="Y80" s="2"/>
      <c r="Z80" s="2"/>
      <c r="AA80" s="274"/>
      <c r="AB80" s="21"/>
      <c r="AC80" s="21"/>
      <c r="AD80" s="21"/>
      <c r="AE80" s="21"/>
      <c r="AF80" s="70"/>
      <c r="AG80" s="20"/>
      <c r="AH80" s="21"/>
      <c r="AI80" s="21"/>
      <c r="AJ80" s="22"/>
      <c r="AK80" s="29"/>
      <c r="AL80" s="19"/>
      <c r="AM80" s="57"/>
      <c r="AN80" s="2"/>
      <c r="AO80" s="2"/>
      <c r="AP80" s="63"/>
      <c r="AQ80" s="68"/>
      <c r="AR80" s="21"/>
      <c r="AS80" s="21"/>
      <c r="AT80" s="21"/>
      <c r="AU80" s="240"/>
      <c r="AV80" s="19"/>
      <c r="AW80" s="195"/>
      <c r="AX80" s="2"/>
      <c r="AY80" s="238"/>
      <c r="BB80" s="19"/>
      <c r="BC80" s="24"/>
      <c r="BR80" s="317"/>
      <c r="BS80" s="317"/>
      <c r="BT80" s="328"/>
      <c r="BU80" s="329"/>
      <c r="BV80" s="317"/>
      <c r="BW80" s="317"/>
      <c r="BX80" s="317"/>
      <c r="BY80" s="317"/>
      <c r="BZ80" s="317"/>
      <c r="CA80" s="317"/>
    </row>
    <row r="81" spans="1:81">
      <c r="A81" s="699"/>
      <c r="B81" s="23"/>
      <c r="C81" s="17" t="s">
        <v>35</v>
      </c>
      <c r="D81" s="57"/>
      <c r="E81" s="2"/>
      <c r="F81" s="2"/>
      <c r="G81" s="63"/>
      <c r="H81" s="2"/>
      <c r="I81" s="20"/>
      <c r="J81" s="21"/>
      <c r="K81" s="21"/>
      <c r="L81" s="22"/>
      <c r="M81" s="2"/>
      <c r="N81" s="23"/>
      <c r="O81" s="19"/>
      <c r="P81" s="19"/>
      <c r="Q81" s="19"/>
      <c r="R81" s="33"/>
      <c r="T81" s="57"/>
      <c r="U81" s="2"/>
      <c r="V81" s="2"/>
      <c r="W81" s="199"/>
      <c r="X81" s="273"/>
      <c r="Y81" s="2"/>
      <c r="Z81" s="2"/>
      <c r="AA81" s="274"/>
      <c r="AB81" s="21"/>
      <c r="AC81" s="21"/>
      <c r="AD81" s="21"/>
      <c r="AE81" s="21"/>
      <c r="AF81" s="70"/>
      <c r="AG81" s="20"/>
      <c r="AH81" s="21"/>
      <c r="AI81" s="21"/>
      <c r="AJ81" s="22"/>
      <c r="AK81" s="29"/>
      <c r="AL81" s="19"/>
      <c r="AM81" s="57"/>
      <c r="AN81" s="2"/>
      <c r="AO81" s="2"/>
      <c r="AP81" s="63"/>
      <c r="AQ81" s="68"/>
      <c r="AR81" s="21"/>
      <c r="AS81" s="21"/>
      <c r="AT81" s="21"/>
      <c r="AU81" s="240"/>
      <c r="AV81" s="19"/>
      <c r="AW81" s="195"/>
      <c r="AX81" s="2"/>
      <c r="AY81" s="238"/>
      <c r="BB81" s="19"/>
      <c r="BC81" s="24"/>
      <c r="BR81" s="317"/>
      <c r="BS81" s="317"/>
      <c r="BT81" s="317"/>
      <c r="BU81" s="317"/>
      <c r="BV81" s="317"/>
      <c r="BW81" s="317"/>
      <c r="BX81" s="317"/>
      <c r="BY81" s="317"/>
      <c r="BZ81" s="317"/>
      <c r="CA81" s="314"/>
    </row>
    <row r="82" spans="1:81">
      <c r="A82" s="699"/>
      <c r="B82" s="23"/>
      <c r="C82" s="17" t="s">
        <v>36</v>
      </c>
      <c r="D82" s="57"/>
      <c r="E82" s="2"/>
      <c r="F82" s="2"/>
      <c r="G82" s="63"/>
      <c r="H82" s="2"/>
      <c r="I82" s="20"/>
      <c r="J82" s="21"/>
      <c r="K82" s="21"/>
      <c r="L82" s="22"/>
      <c r="M82" s="2"/>
      <c r="N82" s="23"/>
      <c r="O82" s="19"/>
      <c r="P82" s="19"/>
      <c r="Q82" s="19"/>
      <c r="R82" s="33"/>
      <c r="T82" s="57"/>
      <c r="U82" s="2"/>
      <c r="V82" s="2"/>
      <c r="W82" s="199"/>
      <c r="X82" s="273"/>
      <c r="Y82" s="2"/>
      <c r="Z82" s="2"/>
      <c r="AA82" s="274"/>
      <c r="AB82" s="21"/>
      <c r="AC82" s="21"/>
      <c r="AD82" s="21"/>
      <c r="AE82" s="21"/>
      <c r="AF82" s="70"/>
      <c r="AG82" s="20"/>
      <c r="AH82" s="21"/>
      <c r="AI82" s="21"/>
      <c r="AJ82" s="22"/>
      <c r="AK82" s="29"/>
      <c r="AL82" s="19"/>
      <c r="AM82" s="57"/>
      <c r="AN82" s="2"/>
      <c r="AO82" s="2"/>
      <c r="AP82" s="63"/>
      <c r="AQ82" s="68"/>
      <c r="AR82" s="21"/>
      <c r="AS82" s="21"/>
      <c r="AT82" s="21"/>
      <c r="AU82" s="240"/>
      <c r="AV82" s="19"/>
      <c r="AW82" s="195"/>
      <c r="AX82" s="2"/>
      <c r="AY82" s="238"/>
      <c r="BB82" s="19"/>
      <c r="BC82" s="24"/>
      <c r="BR82" s="317"/>
      <c r="BS82" s="317"/>
      <c r="BT82" s="314"/>
      <c r="BU82" s="314"/>
      <c r="BV82" s="314"/>
      <c r="BW82" s="314"/>
      <c r="BX82" s="314"/>
      <c r="BY82" s="314"/>
      <c r="BZ82" s="314"/>
      <c r="CA82" s="317"/>
    </row>
    <row r="83" spans="1:81" s="90" customFormat="1">
      <c r="A83" s="699"/>
      <c r="B83" s="91" t="s">
        <v>43</v>
      </c>
      <c r="C83" s="92"/>
      <c r="D83" s="93"/>
      <c r="E83" s="94"/>
      <c r="F83" s="94"/>
      <c r="G83" s="95"/>
      <c r="H83" s="94"/>
      <c r="I83" s="96"/>
      <c r="J83" s="97"/>
      <c r="K83" s="97"/>
      <c r="L83" s="98"/>
      <c r="M83" s="94"/>
      <c r="N83" s="96"/>
      <c r="O83" s="97"/>
      <c r="P83" s="97"/>
      <c r="Q83" s="97"/>
      <c r="R83" s="99"/>
      <c r="T83" s="93"/>
      <c r="U83" s="94"/>
      <c r="V83" s="2"/>
      <c r="W83" s="211"/>
      <c r="X83" s="279"/>
      <c r="Y83" s="94"/>
      <c r="Z83" s="94"/>
      <c r="AA83" s="280"/>
      <c r="AB83" s="97"/>
      <c r="AC83" s="97"/>
      <c r="AD83" s="21"/>
      <c r="AE83" s="97"/>
      <c r="AF83" s="101"/>
      <c r="AG83" s="96"/>
      <c r="AH83" s="97"/>
      <c r="AI83" s="97"/>
      <c r="AJ83" s="98"/>
      <c r="AK83" s="102"/>
      <c r="AL83" s="103"/>
      <c r="AM83" s="93"/>
      <c r="AN83" s="94"/>
      <c r="AO83" s="94"/>
      <c r="AP83" s="95"/>
      <c r="AQ83" s="100"/>
      <c r="AR83" s="97"/>
      <c r="AS83" s="97"/>
      <c r="AT83" s="97"/>
      <c r="AU83" s="104"/>
      <c r="AV83" s="97"/>
      <c r="AW83" s="98"/>
      <c r="AX83" s="94"/>
      <c r="AY83" s="239"/>
      <c r="BB83" s="97"/>
      <c r="BC83" s="105"/>
      <c r="BG83" s="143"/>
      <c r="BR83" s="334"/>
      <c r="BS83" s="334"/>
      <c r="BT83" s="317"/>
      <c r="BU83" s="317"/>
      <c r="BV83" s="317"/>
      <c r="BW83" s="317"/>
      <c r="BX83" s="317"/>
      <c r="BY83" s="317"/>
      <c r="BZ83" s="317"/>
      <c r="CA83" s="317"/>
      <c r="CB83" s="6"/>
      <c r="CC83" s="6"/>
    </row>
    <row r="84" spans="1:81" s="106" customFormat="1">
      <c r="A84" s="699"/>
      <c r="B84" s="107" t="s">
        <v>67</v>
      </c>
      <c r="C84" s="108"/>
      <c r="D84" s="109"/>
      <c r="E84" s="110"/>
      <c r="F84" s="110"/>
      <c r="G84" s="111"/>
      <c r="H84" s="110"/>
      <c r="I84" s="112"/>
      <c r="J84" s="113"/>
      <c r="K84" s="113"/>
      <c r="L84" s="114"/>
      <c r="M84" s="110"/>
      <c r="N84" s="112"/>
      <c r="O84" s="113"/>
      <c r="P84" s="113"/>
      <c r="Q84" s="114"/>
      <c r="R84" s="115"/>
      <c r="T84" s="202"/>
      <c r="U84" s="130"/>
      <c r="V84" s="2"/>
      <c r="W84" s="203"/>
      <c r="X84" s="130"/>
      <c r="Y84" s="130"/>
      <c r="Z84" s="130"/>
      <c r="AA84" s="276"/>
      <c r="AB84" s="242"/>
      <c r="AC84" s="242"/>
      <c r="AD84" s="242"/>
      <c r="AE84" s="113"/>
      <c r="AF84" s="117"/>
      <c r="AG84" s="112"/>
      <c r="AH84" s="113"/>
      <c r="AI84" s="113"/>
      <c r="AJ84" s="114"/>
      <c r="AK84" s="118"/>
      <c r="AL84" s="119"/>
      <c r="AM84" s="109"/>
      <c r="AN84" s="110"/>
      <c r="AO84" s="110"/>
      <c r="AP84" s="111"/>
      <c r="AQ84" s="116"/>
      <c r="AR84" s="113"/>
      <c r="AS84" s="113"/>
      <c r="AT84" s="113"/>
      <c r="AU84" s="120"/>
      <c r="AV84" s="113"/>
      <c r="AW84" s="114"/>
      <c r="AX84" s="110"/>
      <c r="AY84" s="237"/>
      <c r="BB84" s="113"/>
      <c r="BC84" s="118"/>
      <c r="BG84" s="144"/>
      <c r="BR84" s="314"/>
      <c r="BS84" s="314"/>
      <c r="BT84" s="317"/>
      <c r="BU84" s="317"/>
      <c r="BV84" s="317"/>
      <c r="BW84" s="317"/>
      <c r="BX84" s="317"/>
      <c r="BY84" s="317"/>
      <c r="BZ84" s="317"/>
      <c r="CA84" s="317"/>
      <c r="CB84" s="6"/>
      <c r="CC84" s="6"/>
    </row>
    <row r="85" spans="1:81" s="106" customFormat="1">
      <c r="A85" s="699"/>
      <c r="B85" s="37" t="s">
        <v>8</v>
      </c>
      <c r="C85" s="129" t="s">
        <v>8</v>
      </c>
      <c r="D85" s="109"/>
      <c r="E85" s="110"/>
      <c r="F85" s="110"/>
      <c r="G85" s="111"/>
      <c r="H85" s="110"/>
      <c r="I85" s="112"/>
      <c r="J85" s="113"/>
      <c r="K85" s="113"/>
      <c r="L85" s="114"/>
      <c r="M85" s="110"/>
      <c r="N85" s="112"/>
      <c r="O85" s="113"/>
      <c r="P85" s="113"/>
      <c r="Q85" s="114"/>
      <c r="R85" s="115"/>
      <c r="T85" s="109"/>
      <c r="U85" s="110"/>
      <c r="V85" s="2"/>
      <c r="W85" s="199"/>
      <c r="X85" s="275"/>
      <c r="Y85" s="110"/>
      <c r="Z85" s="110"/>
      <c r="AA85" s="276"/>
      <c r="AB85" s="113"/>
      <c r="AC85" s="21"/>
      <c r="AD85" s="113"/>
      <c r="AE85" s="113"/>
      <c r="AF85" s="117"/>
      <c r="AG85" s="112"/>
      <c r="AH85" s="113"/>
      <c r="AI85" s="113"/>
      <c r="AJ85" s="114"/>
      <c r="AK85" s="118"/>
      <c r="AL85" s="119"/>
      <c r="AM85" s="109"/>
      <c r="AN85" s="110"/>
      <c r="AO85" s="110"/>
      <c r="AP85" s="111"/>
      <c r="AQ85" s="116"/>
      <c r="AR85" s="113"/>
      <c r="AS85" s="113"/>
      <c r="AT85" s="113"/>
      <c r="AU85" s="120"/>
      <c r="AV85" s="113"/>
      <c r="AW85" s="114"/>
      <c r="AX85" s="110"/>
      <c r="AY85" s="237"/>
      <c r="BB85" s="113"/>
      <c r="BC85" s="121"/>
      <c r="BG85" s="144"/>
      <c r="BR85" s="314"/>
      <c r="BS85" s="314"/>
      <c r="BT85" s="317"/>
      <c r="BU85" s="317"/>
      <c r="BV85" s="317"/>
      <c r="BW85" s="317"/>
      <c r="BX85" s="317"/>
      <c r="BY85" s="317"/>
      <c r="BZ85" s="317"/>
      <c r="CA85" s="314"/>
      <c r="CB85" s="6"/>
      <c r="CC85" s="6"/>
    </row>
    <row r="86" spans="1:81">
      <c r="A86" s="699"/>
      <c r="B86" s="23" t="s">
        <v>7</v>
      </c>
      <c r="C86" s="17" t="s">
        <v>9</v>
      </c>
      <c r="D86" s="57"/>
      <c r="E86" s="2"/>
      <c r="F86" s="2"/>
      <c r="G86" s="63"/>
      <c r="H86" s="2"/>
      <c r="I86" s="20"/>
      <c r="J86" s="21"/>
      <c r="K86" s="21"/>
      <c r="L86" s="22"/>
      <c r="M86" s="2"/>
      <c r="N86" s="20"/>
      <c r="O86" s="21"/>
      <c r="P86" s="21"/>
      <c r="Q86" s="22"/>
      <c r="R86" s="34"/>
      <c r="T86" s="57"/>
      <c r="U86" s="2"/>
      <c r="V86" s="2"/>
      <c r="W86" s="199"/>
      <c r="X86" s="273"/>
      <c r="Y86" s="2"/>
      <c r="Z86" s="2"/>
      <c r="AA86" s="274"/>
      <c r="AB86" s="21"/>
      <c r="AC86" s="21"/>
      <c r="AD86" s="21"/>
      <c r="AE86" s="21"/>
      <c r="AF86" s="70"/>
      <c r="AG86" s="20"/>
      <c r="AH86" s="21"/>
      <c r="AI86" s="21"/>
      <c r="AJ86" s="22"/>
      <c r="AK86" s="29"/>
      <c r="AL86" s="19"/>
      <c r="AM86" s="57"/>
      <c r="AN86" s="2"/>
      <c r="AO86" s="2"/>
      <c r="AP86" s="63"/>
      <c r="AQ86" s="68"/>
      <c r="AR86" s="21"/>
      <c r="AS86" s="35"/>
      <c r="AT86" s="21"/>
      <c r="AU86" s="25"/>
      <c r="AV86" s="21"/>
      <c r="AW86" s="22"/>
      <c r="AX86" s="2"/>
      <c r="AY86" s="238"/>
      <c r="BB86" s="21"/>
      <c r="BC86" s="29"/>
      <c r="BR86" s="337"/>
      <c r="BS86" s="337"/>
      <c r="BT86" s="314"/>
      <c r="BU86" s="314"/>
      <c r="BV86" s="314"/>
      <c r="BW86" s="314"/>
      <c r="BX86" s="314"/>
      <c r="BY86" s="314"/>
      <c r="BZ86" s="314"/>
      <c r="CA86" s="337"/>
    </row>
    <row r="87" spans="1:81">
      <c r="A87" s="699"/>
      <c r="B87" s="23"/>
      <c r="C87" s="17" t="s">
        <v>10</v>
      </c>
      <c r="D87" s="57"/>
      <c r="E87" s="2"/>
      <c r="F87" s="2"/>
      <c r="G87" s="63"/>
      <c r="H87" s="2"/>
      <c r="I87" s="20"/>
      <c r="J87" s="21"/>
      <c r="K87" s="21"/>
      <c r="L87" s="22"/>
      <c r="M87" s="2"/>
      <c r="N87" s="20"/>
      <c r="O87" s="21"/>
      <c r="P87" s="21"/>
      <c r="Q87" s="22"/>
      <c r="R87" s="33"/>
      <c r="T87" s="57"/>
      <c r="U87" s="2"/>
      <c r="V87" s="2"/>
      <c r="W87" s="199"/>
      <c r="X87" s="273"/>
      <c r="Y87" s="2"/>
      <c r="Z87" s="2"/>
      <c r="AA87" s="274"/>
      <c r="AB87" s="21"/>
      <c r="AC87" s="21"/>
      <c r="AD87" s="21"/>
      <c r="AE87" s="21"/>
      <c r="AF87" s="70"/>
      <c r="AG87" s="20"/>
      <c r="AH87" s="21"/>
      <c r="AI87" s="21"/>
      <c r="AJ87" s="22"/>
      <c r="AK87" s="29"/>
      <c r="AL87" s="19"/>
      <c r="AM87" s="57"/>
      <c r="AN87" s="2"/>
      <c r="AO87" s="2"/>
      <c r="AP87" s="63"/>
      <c r="AQ87" s="68"/>
      <c r="AR87" s="21"/>
      <c r="AS87" s="21"/>
      <c r="AT87" s="21"/>
      <c r="AU87" s="240"/>
      <c r="AV87" s="21"/>
      <c r="AW87" s="195"/>
      <c r="AX87" s="2"/>
      <c r="AY87" s="238"/>
      <c r="BB87" s="21"/>
      <c r="BC87" s="29"/>
      <c r="BR87" s="337"/>
      <c r="BS87" s="337"/>
      <c r="BT87" s="337"/>
      <c r="BU87" s="338" t="s">
        <v>2</v>
      </c>
      <c r="BV87" s="337"/>
      <c r="BW87" s="337"/>
      <c r="BX87" s="337"/>
      <c r="BY87" s="337"/>
      <c r="BZ87" s="337"/>
      <c r="CA87" s="337"/>
    </row>
    <row r="88" spans="1:81" s="106" customFormat="1">
      <c r="A88" s="699"/>
      <c r="B88" s="107" t="s">
        <v>67</v>
      </c>
      <c r="C88" s="108"/>
      <c r="D88" s="109"/>
      <c r="E88" s="110"/>
      <c r="F88" s="110"/>
      <c r="G88" s="111"/>
      <c r="H88" s="110"/>
      <c r="I88" s="112"/>
      <c r="J88" s="113"/>
      <c r="K88" s="113"/>
      <c r="L88" s="114"/>
      <c r="M88" s="110"/>
      <c r="N88" s="112"/>
      <c r="O88" s="113"/>
      <c r="P88" s="113"/>
      <c r="Q88" s="114"/>
      <c r="R88" s="115"/>
      <c r="T88" s="109"/>
      <c r="U88" s="110"/>
      <c r="V88" s="110"/>
      <c r="W88" s="203"/>
      <c r="X88" s="275"/>
      <c r="Y88" s="110"/>
      <c r="Z88" s="110"/>
      <c r="AA88" s="276"/>
      <c r="AB88" s="113"/>
      <c r="AC88" s="113"/>
      <c r="AD88" s="113"/>
      <c r="AE88" s="113"/>
      <c r="AF88" s="117"/>
      <c r="AG88" s="112"/>
      <c r="AH88" s="113"/>
      <c r="AI88" s="113"/>
      <c r="AJ88" s="114"/>
      <c r="AK88" s="118"/>
      <c r="AL88" s="119"/>
      <c r="AM88" s="109"/>
      <c r="AN88" s="110"/>
      <c r="AO88" s="110"/>
      <c r="AP88" s="111"/>
      <c r="AQ88" s="116"/>
      <c r="AR88" s="113"/>
      <c r="AS88" s="113"/>
      <c r="AT88" s="113"/>
      <c r="AU88" s="120"/>
      <c r="AV88" s="113"/>
      <c r="AW88" s="114"/>
      <c r="AX88" s="110"/>
      <c r="AY88" s="241"/>
      <c r="AZ88" s="242"/>
      <c r="BA88" s="242"/>
      <c r="BB88" s="114"/>
      <c r="BC88" s="118"/>
      <c r="BD88" s="122"/>
      <c r="BG88" s="144"/>
      <c r="BR88" s="340"/>
      <c r="BS88" s="340"/>
      <c r="BT88" s="337"/>
      <c r="BU88" s="337"/>
      <c r="BV88" s="339" t="s">
        <v>72</v>
      </c>
      <c r="BW88" s="339" t="s">
        <v>68</v>
      </c>
      <c r="BX88" s="339" t="s">
        <v>69</v>
      </c>
      <c r="BY88" s="337"/>
      <c r="BZ88" s="337"/>
      <c r="CA88" s="340"/>
      <c r="CB88" s="6"/>
      <c r="CC88" s="6"/>
    </row>
    <row r="89" spans="1:81">
      <c r="A89" s="699"/>
      <c r="B89" s="23" t="s">
        <v>11</v>
      </c>
      <c r="C89" s="17" t="s">
        <v>12</v>
      </c>
      <c r="D89" s="57"/>
      <c r="E89" s="2"/>
      <c r="F89" s="2"/>
      <c r="G89" s="63"/>
      <c r="H89" s="2"/>
      <c r="I89" s="20"/>
      <c r="J89" s="21"/>
      <c r="K89" s="21"/>
      <c r="L89" s="22"/>
      <c r="M89" s="2"/>
      <c r="N89" s="20"/>
      <c r="O89" s="21"/>
      <c r="P89" s="21"/>
      <c r="Q89" s="22"/>
      <c r="R89" s="33"/>
      <c r="T89" s="57"/>
      <c r="U89" s="2"/>
      <c r="V89" s="2"/>
      <c r="W89" s="199"/>
      <c r="X89" s="273"/>
      <c r="Y89" s="2"/>
      <c r="Z89" s="2"/>
      <c r="AA89" s="274"/>
      <c r="AB89" s="21"/>
      <c r="AC89" s="21"/>
      <c r="AD89" s="21"/>
      <c r="AE89" s="21"/>
      <c r="AF89" s="70"/>
      <c r="AG89" s="20"/>
      <c r="AH89" s="21"/>
      <c r="AI89" s="21"/>
      <c r="AJ89" s="22"/>
      <c r="AK89" s="29"/>
      <c r="AL89" s="19"/>
      <c r="AM89" s="57"/>
      <c r="AN89" s="2"/>
      <c r="AO89" s="2"/>
      <c r="AP89" s="63"/>
      <c r="AQ89" s="68"/>
      <c r="AR89" s="21"/>
      <c r="AS89" s="21"/>
      <c r="AT89" s="21"/>
      <c r="AU89" s="25"/>
      <c r="AV89" s="21"/>
      <c r="AW89" s="22"/>
      <c r="AX89" s="2"/>
      <c r="AY89" s="23"/>
      <c r="AZ89" s="19"/>
      <c r="BA89" s="19"/>
      <c r="BB89" s="19"/>
      <c r="BC89" s="24"/>
      <c r="BR89" s="337"/>
      <c r="BS89" s="337"/>
      <c r="BT89" s="340"/>
      <c r="BU89" s="349" t="s">
        <v>100</v>
      </c>
      <c r="BV89" s="341">
        <f>BH166</f>
        <v>2490.5797913721049</v>
      </c>
      <c r="BW89" s="341">
        <f>BI166</f>
        <v>1092.5261608165272</v>
      </c>
      <c r="BX89" s="341">
        <f>BJ166</f>
        <v>265.11302990369637</v>
      </c>
      <c r="BY89" s="340"/>
      <c r="BZ89" s="340"/>
      <c r="CA89" s="337"/>
    </row>
    <row r="90" spans="1:81">
      <c r="A90" s="699"/>
      <c r="B90" s="23"/>
      <c r="C90" s="17" t="s">
        <v>13</v>
      </c>
      <c r="D90" s="57"/>
      <c r="E90" s="2"/>
      <c r="F90" s="2"/>
      <c r="G90" s="156"/>
      <c r="H90" s="3"/>
      <c r="I90" s="20"/>
      <c r="J90" s="21"/>
      <c r="K90" s="21"/>
      <c r="L90" s="22"/>
      <c r="M90" s="83"/>
      <c r="N90" s="20"/>
      <c r="O90" s="21"/>
      <c r="P90" s="21"/>
      <c r="Q90" s="22"/>
      <c r="R90" s="34"/>
      <c r="T90" s="57"/>
      <c r="U90" s="2"/>
      <c r="V90" s="2"/>
      <c r="W90" s="199"/>
      <c r="X90" s="281"/>
      <c r="Y90" s="3"/>
      <c r="Z90" s="3"/>
      <c r="AA90" s="282"/>
      <c r="AB90" s="21"/>
      <c r="AC90" s="21"/>
      <c r="AD90" s="21"/>
      <c r="AE90" s="21"/>
      <c r="AF90" s="70"/>
      <c r="AG90" s="20"/>
      <c r="AH90" s="21"/>
      <c r="AI90" s="21"/>
      <c r="AJ90" s="22"/>
      <c r="AK90" s="29"/>
      <c r="AL90" s="19"/>
      <c r="AM90" s="57"/>
      <c r="AN90" s="2"/>
      <c r="AO90" s="2"/>
      <c r="AP90" s="64"/>
      <c r="AQ90" s="69"/>
      <c r="AR90" s="21"/>
      <c r="AS90" s="21"/>
      <c r="AT90" s="21"/>
      <c r="AU90" s="25"/>
      <c r="AV90" s="21"/>
      <c r="AW90" s="22"/>
      <c r="AX90" s="2"/>
      <c r="AY90" s="20"/>
      <c r="AZ90" s="21"/>
      <c r="BA90" s="21"/>
      <c r="BB90" s="21"/>
      <c r="BC90" s="24"/>
      <c r="BR90" s="337"/>
      <c r="BS90" s="337"/>
      <c r="BT90" s="337"/>
      <c r="BU90" s="351" t="s">
        <v>101</v>
      </c>
      <c r="BV90" s="341">
        <f>BH119</f>
        <v>2269.9359100421352</v>
      </c>
      <c r="BW90" s="341">
        <f>BI119</f>
        <v>1325.5253814764287</v>
      </c>
      <c r="BX90" s="341">
        <f>BJ119</f>
        <v>321.88799243044684</v>
      </c>
      <c r="BY90" s="337"/>
      <c r="BZ90" s="337"/>
      <c r="CA90" s="337"/>
    </row>
    <row r="91" spans="1:81">
      <c r="A91" s="699"/>
      <c r="B91" s="23"/>
      <c r="C91" s="17" t="s">
        <v>14</v>
      </c>
      <c r="D91" s="57"/>
      <c r="E91" s="2"/>
      <c r="F91" s="2"/>
      <c r="G91" s="156"/>
      <c r="H91" s="3"/>
      <c r="I91" s="20"/>
      <c r="J91" s="21"/>
      <c r="K91" s="21"/>
      <c r="L91" s="22"/>
      <c r="M91" s="83"/>
      <c r="N91" s="20"/>
      <c r="O91" s="21"/>
      <c r="P91" s="21"/>
      <c r="Q91" s="22"/>
      <c r="R91" s="34"/>
      <c r="T91" s="57"/>
      <c r="U91" s="2"/>
      <c r="V91" s="2"/>
      <c r="W91" s="199"/>
      <c r="X91" s="281"/>
      <c r="Y91" s="3"/>
      <c r="Z91" s="3"/>
      <c r="AA91" s="282"/>
      <c r="AB91" s="21"/>
      <c r="AC91" s="21"/>
      <c r="AD91" s="21"/>
      <c r="AE91" s="21"/>
      <c r="AF91" s="70"/>
      <c r="AG91" s="20"/>
      <c r="AH91" s="21"/>
      <c r="AI91" s="21"/>
      <c r="AJ91" s="22"/>
      <c r="AK91" s="29"/>
      <c r="AL91" s="19"/>
      <c r="AM91" s="57"/>
      <c r="AN91" s="2"/>
      <c r="AO91" s="2"/>
      <c r="AP91" s="64"/>
      <c r="AQ91" s="69"/>
      <c r="AR91" s="21"/>
      <c r="AS91" s="21"/>
      <c r="AT91" s="21"/>
      <c r="AU91" s="25"/>
      <c r="AV91" s="21"/>
      <c r="AW91" s="22"/>
      <c r="AX91" s="2"/>
      <c r="AY91" s="23"/>
      <c r="AZ91" s="19"/>
      <c r="BA91" s="19"/>
      <c r="BB91" s="21"/>
      <c r="BC91" s="24"/>
      <c r="BR91" s="340"/>
      <c r="BS91" s="340"/>
      <c r="BT91" s="337"/>
      <c r="BU91" s="351" t="s">
        <v>103</v>
      </c>
      <c r="BV91" s="341">
        <f>BH25</f>
        <v>1793.9482998096171</v>
      </c>
      <c r="BW91" s="341">
        <f>BI25</f>
        <v>2094.5</v>
      </c>
      <c r="BX91" s="341">
        <f>BJ25</f>
        <v>420.05136104157117</v>
      </c>
      <c r="BY91" s="337"/>
      <c r="BZ91" s="337"/>
      <c r="CA91" s="340"/>
    </row>
    <row r="92" spans="1:81">
      <c r="A92" s="699"/>
      <c r="B92" s="23"/>
      <c r="C92" s="17" t="s">
        <v>15</v>
      </c>
      <c r="D92" s="57"/>
      <c r="E92" s="2"/>
      <c r="F92" s="2"/>
      <c r="G92" s="156"/>
      <c r="H92" s="3"/>
      <c r="I92" s="20"/>
      <c r="J92" s="21"/>
      <c r="K92" s="21"/>
      <c r="L92" s="22"/>
      <c r="M92" s="83"/>
      <c r="N92" s="20"/>
      <c r="O92" s="21"/>
      <c r="P92" s="21"/>
      <c r="Q92" s="22"/>
      <c r="R92" s="34"/>
      <c r="T92" s="57"/>
      <c r="U92" s="2"/>
      <c r="V92" s="2"/>
      <c r="W92" s="199"/>
      <c r="X92" s="281"/>
      <c r="Y92" s="3"/>
      <c r="Z92" s="3"/>
      <c r="AA92" s="282"/>
      <c r="AB92" s="21"/>
      <c r="AC92" s="21"/>
      <c r="AD92" s="21"/>
      <c r="AE92" s="21"/>
      <c r="AF92" s="70"/>
      <c r="AG92" s="20"/>
      <c r="AH92" s="21"/>
      <c r="AI92" s="21"/>
      <c r="AJ92" s="22"/>
      <c r="AK92" s="29"/>
      <c r="AL92" s="19"/>
      <c r="AM92" s="57"/>
      <c r="AN92" s="2"/>
      <c r="AO92" s="2"/>
      <c r="AP92" s="64"/>
      <c r="AQ92" s="69"/>
      <c r="AR92" s="21"/>
      <c r="AS92" s="21"/>
      <c r="AT92" s="21"/>
      <c r="AU92" s="25"/>
      <c r="AV92" s="21"/>
      <c r="AW92" s="22"/>
      <c r="AX92" s="2"/>
      <c r="AY92" s="23"/>
      <c r="AZ92" s="19"/>
      <c r="BA92" s="19"/>
      <c r="BB92" s="21"/>
      <c r="BC92" s="24"/>
      <c r="BR92" s="340"/>
      <c r="BS92" s="340"/>
      <c r="BT92" s="340"/>
      <c r="BU92" s="340"/>
      <c r="BV92" s="340"/>
      <c r="BW92" s="340"/>
      <c r="BX92" s="340"/>
      <c r="BY92" s="340"/>
      <c r="BZ92" s="340"/>
      <c r="CA92" s="340"/>
    </row>
    <row r="93" spans="1:81" s="106" customFormat="1">
      <c r="A93" s="699"/>
      <c r="B93" s="107" t="s">
        <v>67</v>
      </c>
      <c r="C93" s="108"/>
      <c r="D93" s="109"/>
      <c r="E93" s="110"/>
      <c r="F93" s="110"/>
      <c r="G93" s="124"/>
      <c r="H93" s="125"/>
      <c r="I93" s="112"/>
      <c r="J93" s="113"/>
      <c r="K93" s="113"/>
      <c r="L93" s="114"/>
      <c r="M93" s="110"/>
      <c r="N93" s="112"/>
      <c r="O93" s="113"/>
      <c r="P93" s="113"/>
      <c r="Q93" s="114"/>
      <c r="R93" s="115"/>
      <c r="T93" s="109"/>
      <c r="U93" s="110"/>
      <c r="V93" s="110"/>
      <c r="W93" s="203"/>
      <c r="X93" s="283"/>
      <c r="Y93" s="125"/>
      <c r="Z93" s="125"/>
      <c r="AA93" s="284"/>
      <c r="AB93" s="113"/>
      <c r="AC93" s="113"/>
      <c r="AD93" s="113"/>
      <c r="AE93" s="113"/>
      <c r="AF93" s="117"/>
      <c r="AG93" s="112"/>
      <c r="AH93" s="113"/>
      <c r="AI93" s="113"/>
      <c r="AJ93" s="114"/>
      <c r="AK93" s="118"/>
      <c r="AL93" s="119"/>
      <c r="AM93" s="109"/>
      <c r="AN93" s="110"/>
      <c r="AO93" s="110"/>
      <c r="AP93" s="124"/>
      <c r="AQ93" s="126"/>
      <c r="AR93" s="113"/>
      <c r="AS93" s="113"/>
      <c r="AT93" s="113"/>
      <c r="AU93" s="120"/>
      <c r="AV93" s="113"/>
      <c r="AW93" s="114"/>
      <c r="AX93" s="110"/>
      <c r="AY93" s="127"/>
      <c r="AZ93" s="119"/>
      <c r="BA93" s="119"/>
      <c r="BB93" s="113"/>
      <c r="BC93" s="121"/>
      <c r="BG93" s="144"/>
      <c r="BR93" s="337"/>
      <c r="BS93" s="337"/>
      <c r="BT93" s="340"/>
      <c r="BU93" s="340"/>
      <c r="BV93" s="340"/>
      <c r="BW93" s="340"/>
      <c r="BX93" s="340"/>
      <c r="BY93" s="340"/>
      <c r="BZ93" s="340"/>
      <c r="CA93" s="337"/>
      <c r="CB93" s="6"/>
      <c r="CC93" s="6"/>
    </row>
    <row r="94" spans="1:81" s="106" customFormat="1" ht="13.5" thickBot="1">
      <c r="A94" s="699"/>
      <c r="B94" s="131" t="s">
        <v>37</v>
      </c>
      <c r="C94" s="132" t="s">
        <v>1</v>
      </c>
      <c r="D94" s="109"/>
      <c r="E94" s="110"/>
      <c r="F94" s="110"/>
      <c r="G94" s="203"/>
      <c r="H94" s="130"/>
      <c r="I94" s="112"/>
      <c r="J94" s="113"/>
      <c r="K94" s="113"/>
      <c r="L94" s="114"/>
      <c r="M94" s="110"/>
      <c r="N94" s="127"/>
      <c r="O94" s="119"/>
      <c r="P94" s="119"/>
      <c r="Q94" s="113"/>
      <c r="R94" s="115"/>
      <c r="T94" s="109"/>
      <c r="U94" s="110"/>
      <c r="V94" s="110"/>
      <c r="W94" s="203"/>
      <c r="X94" s="253"/>
      <c r="Y94" s="130"/>
      <c r="Z94" s="130"/>
      <c r="AA94" s="285"/>
      <c r="AB94" s="113"/>
      <c r="AC94" s="113"/>
      <c r="AD94" s="113"/>
      <c r="AE94" s="113"/>
      <c r="AF94" s="117"/>
      <c r="AG94" s="112"/>
      <c r="AH94" s="113"/>
      <c r="AI94" s="113"/>
      <c r="AJ94" s="114"/>
      <c r="AK94" s="118"/>
      <c r="AL94" s="119"/>
      <c r="AM94" s="109"/>
      <c r="AN94" s="110"/>
      <c r="AO94" s="110"/>
      <c r="AP94" s="111"/>
      <c r="AQ94" s="117"/>
      <c r="AR94" s="113"/>
      <c r="AS94" s="113"/>
      <c r="AT94" s="113"/>
      <c r="AU94" s="120"/>
      <c r="AV94" s="113"/>
      <c r="AW94" s="114"/>
      <c r="AX94" s="110"/>
      <c r="AY94" s="127"/>
      <c r="AZ94" s="119"/>
      <c r="BA94" s="119"/>
      <c r="BB94" s="119"/>
      <c r="BC94" s="121"/>
      <c r="BG94" s="144"/>
      <c r="BR94" s="337"/>
      <c r="BS94" s="337"/>
      <c r="BT94" s="337"/>
      <c r="BU94" s="337"/>
      <c r="BV94" s="337"/>
      <c r="BW94" s="337"/>
      <c r="BX94" s="337"/>
      <c r="BY94" s="337"/>
      <c r="BZ94" s="337"/>
      <c r="CA94" s="337"/>
      <c r="CB94" s="6"/>
      <c r="CC94" s="6"/>
    </row>
    <row r="95" spans="1:81" ht="13.5" thickBot="1">
      <c r="B95" s="19"/>
      <c r="C95" s="38"/>
      <c r="D95" s="57"/>
      <c r="E95" s="2"/>
      <c r="F95" s="2"/>
      <c r="G95" s="63"/>
      <c r="H95" s="2"/>
      <c r="I95" s="20"/>
      <c r="J95" s="21"/>
      <c r="K95" s="21"/>
      <c r="L95" s="22"/>
      <c r="M95" s="2"/>
      <c r="N95" s="23"/>
      <c r="O95" s="19"/>
      <c r="P95" s="19"/>
      <c r="Q95" s="19"/>
      <c r="R95" s="24"/>
      <c r="T95" s="57"/>
      <c r="U95" s="2"/>
      <c r="V95" s="2"/>
      <c r="W95" s="63"/>
      <c r="X95" s="273"/>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19"/>
      <c r="BC95" s="24"/>
      <c r="BR95" s="337"/>
      <c r="BS95" s="337"/>
      <c r="BT95" s="337"/>
      <c r="BU95" s="337"/>
      <c r="BV95" s="337"/>
      <c r="BW95" s="337"/>
      <c r="BX95" s="337"/>
      <c r="BY95" s="337"/>
      <c r="BZ95" s="337"/>
      <c r="CA95" s="337"/>
    </row>
    <row r="96" spans="1:81" ht="13.5" thickBot="1">
      <c r="C96" s="39" t="s">
        <v>38</v>
      </c>
      <c r="D96" s="58"/>
      <c r="E96" s="59"/>
      <c r="F96" s="2"/>
      <c r="G96" s="208"/>
      <c r="H96" s="2"/>
      <c r="I96" s="20"/>
      <c r="J96" s="21"/>
      <c r="K96" s="21"/>
      <c r="L96" s="22"/>
      <c r="M96" s="2"/>
      <c r="N96" s="23"/>
      <c r="O96" s="19"/>
      <c r="P96" s="19"/>
      <c r="Q96" s="19"/>
      <c r="R96" s="24"/>
      <c r="T96" s="58"/>
      <c r="U96" s="59"/>
      <c r="V96" s="2"/>
      <c r="W96" s="208"/>
      <c r="X96" s="273"/>
      <c r="Y96" s="2"/>
      <c r="Z96" s="2"/>
      <c r="AA96" s="274"/>
      <c r="AB96" s="21"/>
      <c r="AC96" s="21"/>
      <c r="AD96" s="21"/>
      <c r="AE96" s="21"/>
      <c r="AF96" s="70"/>
      <c r="AG96" s="20"/>
      <c r="AH96" s="21"/>
      <c r="AI96" s="21"/>
      <c r="AJ96" s="22"/>
      <c r="AK96" s="40"/>
      <c r="AL96" s="19"/>
      <c r="AM96" s="58"/>
      <c r="AN96" s="59"/>
      <c r="AO96" s="2"/>
      <c r="AP96" s="65"/>
      <c r="AQ96" s="68"/>
      <c r="AR96" s="21"/>
      <c r="AS96" s="21"/>
      <c r="AT96" s="21"/>
      <c r="AU96" s="25"/>
      <c r="AV96" s="21"/>
      <c r="AW96" s="22"/>
      <c r="AX96" s="2"/>
      <c r="AY96" s="23"/>
      <c r="AZ96" s="19"/>
      <c r="BA96" s="19"/>
      <c r="BB96" s="19"/>
      <c r="BC96" s="24"/>
      <c r="BR96" s="337"/>
      <c r="BS96" s="337"/>
      <c r="BT96" s="337"/>
      <c r="BU96" s="337"/>
      <c r="BV96" s="337"/>
      <c r="BW96" s="337"/>
      <c r="BX96" s="337"/>
      <c r="BY96" s="337"/>
      <c r="BZ96" s="337"/>
      <c r="CA96" s="337"/>
    </row>
    <row r="97" spans="1:81" ht="13.5" thickBot="1">
      <c r="C97" s="135" t="s">
        <v>92</v>
      </c>
      <c r="D97" s="134"/>
      <c r="E97" s="134"/>
      <c r="F97" s="134"/>
      <c r="G97" s="66"/>
      <c r="H97" s="246"/>
      <c r="I97" s="41"/>
      <c r="J97" s="218"/>
      <c r="K97" s="218"/>
      <c r="L97" s="42"/>
      <c r="M97" s="43"/>
      <c r="N97" s="44"/>
      <c r="O97" s="45"/>
      <c r="P97" s="45"/>
      <c r="Q97" s="133"/>
      <c r="R97" s="27"/>
      <c r="T97" s="60"/>
      <c r="U97" s="134"/>
      <c r="V97" s="134"/>
      <c r="W97" s="66"/>
      <c r="X97" s="286"/>
      <c r="Y97" s="266"/>
      <c r="Z97" s="266"/>
      <c r="AA97" s="287"/>
      <c r="AB97" s="45"/>
      <c r="AC97" s="45"/>
      <c r="AD97" s="45"/>
      <c r="AE97" s="45"/>
      <c r="AF97" s="85"/>
      <c r="AG97" s="44"/>
      <c r="AH97" s="45"/>
      <c r="AI97" s="45"/>
      <c r="AJ97" s="354"/>
      <c r="AK97" s="27"/>
      <c r="AL97" s="19"/>
      <c r="AM97" s="60"/>
      <c r="AN97" s="706"/>
      <c r="AO97" s="707"/>
      <c r="AP97" s="66"/>
      <c r="AQ97" s="71"/>
      <c r="AR97" s="45"/>
      <c r="AS97" s="46"/>
      <c r="AT97" s="45"/>
      <c r="AU97" s="47"/>
      <c r="AV97" s="45"/>
      <c r="AW97" s="214"/>
      <c r="AX97" s="43"/>
      <c r="AY97" s="44"/>
      <c r="AZ97" s="45"/>
      <c r="BA97" s="45"/>
      <c r="BB97" s="354"/>
      <c r="BC97" s="27"/>
      <c r="BR97" s="337"/>
      <c r="BS97" s="337"/>
      <c r="BT97" s="337"/>
      <c r="BU97" s="337"/>
      <c r="BV97" s="337"/>
      <c r="BW97" s="337"/>
      <c r="BX97" s="337"/>
      <c r="BY97" s="337"/>
      <c r="BZ97" s="337"/>
      <c r="CA97" s="337"/>
    </row>
    <row r="98" spans="1:81" ht="13.5" thickBot="1">
      <c r="C98" s="136" t="s">
        <v>65</v>
      </c>
      <c r="Q98" s="49"/>
      <c r="R98" s="216"/>
      <c r="AB98" s="302"/>
      <c r="AG98" s="217"/>
      <c r="AJ98" s="353"/>
      <c r="AK98" s="216"/>
      <c r="BB98" s="353"/>
      <c r="BC98" s="216"/>
      <c r="BR98" s="337"/>
      <c r="BS98" s="337"/>
      <c r="BT98" s="337"/>
      <c r="BU98" s="337"/>
      <c r="BV98" s="337"/>
      <c r="BW98" s="337"/>
      <c r="BX98" s="337"/>
      <c r="BY98" s="337"/>
      <c r="BZ98" s="337"/>
      <c r="CA98" s="337"/>
    </row>
    <row r="99" spans="1:81">
      <c r="BR99" s="342"/>
      <c r="BS99" s="342"/>
      <c r="BT99" s="337"/>
      <c r="BU99" s="337"/>
      <c r="BV99" s="337"/>
      <c r="BW99" s="337"/>
      <c r="BX99" s="337"/>
      <c r="BY99" s="337"/>
      <c r="BZ99" s="337"/>
      <c r="CA99" s="337"/>
    </row>
    <row r="100" spans="1:81" ht="13.5" thickBot="1">
      <c r="C100" s="89"/>
      <c r="V100" s="215"/>
      <c r="W100" s="215"/>
      <c r="X100" s="215"/>
      <c r="Y100" s="215"/>
      <c r="Z100" s="215"/>
      <c r="AA100" s="215"/>
      <c r="AT100" s="215"/>
      <c r="AU100" s="215"/>
      <c r="AV100" s="215"/>
      <c r="AW100" s="215"/>
      <c r="BR100" s="343"/>
      <c r="BS100" s="343"/>
      <c r="BT100" s="342"/>
      <c r="BU100" s="342"/>
      <c r="BV100" s="337"/>
      <c r="BW100" s="337"/>
      <c r="BX100" s="337"/>
      <c r="BY100" s="337"/>
      <c r="BZ100" s="337"/>
      <c r="CA100" s="337"/>
    </row>
    <row r="101" spans="1:81">
      <c r="A101" s="699" t="s">
        <v>82</v>
      </c>
      <c r="B101" s="16" t="s">
        <v>3</v>
      </c>
      <c r="C101" s="148" t="s">
        <v>16</v>
      </c>
      <c r="D101" s="55"/>
      <c r="E101" s="56"/>
      <c r="F101" s="56"/>
      <c r="G101" s="149"/>
      <c r="H101" s="150"/>
      <c r="I101" s="151"/>
      <c r="J101" s="26"/>
      <c r="K101" s="26"/>
      <c r="L101" s="133"/>
      <c r="M101" s="56"/>
      <c r="N101" s="16"/>
      <c r="O101" s="18"/>
      <c r="P101" s="18"/>
      <c r="Q101" s="18"/>
      <c r="R101" s="28"/>
      <c r="S101" s="152"/>
      <c r="T101" s="55"/>
      <c r="U101" s="56"/>
      <c r="V101" s="252"/>
      <c r="W101" s="199"/>
      <c r="X101" s="271"/>
      <c r="Y101" s="5"/>
      <c r="Z101" s="5"/>
      <c r="AA101" s="272"/>
      <c r="AB101" s="26"/>
      <c r="AC101" s="26"/>
      <c r="AD101" s="26">
        <f>(V144-Z131)*[2]NSW!$Z$118</f>
        <v>432065.86357651529</v>
      </c>
      <c r="AE101" s="26"/>
      <c r="AF101" s="84"/>
      <c r="AG101" s="151"/>
      <c r="AH101" s="26"/>
      <c r="AI101" s="26"/>
      <c r="AJ101" s="133"/>
      <c r="AK101" s="27"/>
      <c r="AL101" s="18"/>
      <c r="AM101" s="55"/>
      <c r="AN101" s="56"/>
      <c r="AO101" s="56"/>
      <c r="AP101" s="149"/>
      <c r="AQ101" s="153"/>
      <c r="AR101" s="26"/>
      <c r="AS101" s="26"/>
      <c r="AT101" s="21"/>
      <c r="AU101" s="25"/>
      <c r="AV101" s="21"/>
      <c r="AW101" s="22"/>
      <c r="AX101" s="56"/>
      <c r="AY101" s="16"/>
      <c r="AZ101" s="18"/>
      <c r="BA101" s="18"/>
      <c r="BB101" s="244"/>
      <c r="BC101" s="28"/>
      <c r="BD101" s="8"/>
      <c r="BH101" s="700" t="s">
        <v>86</v>
      </c>
      <c r="BI101" s="701"/>
      <c r="BJ101" s="701"/>
      <c r="BK101" s="701"/>
      <c r="BL101" s="702"/>
      <c r="BM101" s="700" t="s">
        <v>87</v>
      </c>
      <c r="BN101" s="702"/>
      <c r="BP101" s="8"/>
      <c r="BQ101" s="8"/>
      <c r="BR101" s="344"/>
      <c r="BS101" s="345"/>
      <c r="BT101" s="343"/>
      <c r="BU101" s="343"/>
      <c r="BV101" s="337"/>
      <c r="BW101" s="337"/>
      <c r="BX101" s="337"/>
      <c r="BY101" s="337"/>
      <c r="BZ101" s="337"/>
      <c r="CA101" s="337"/>
    </row>
    <row r="102" spans="1:81">
      <c r="A102" s="699"/>
      <c r="B102" s="23"/>
      <c r="C102" s="17" t="s">
        <v>17</v>
      </c>
      <c r="D102" s="57"/>
      <c r="E102" s="2"/>
      <c r="F102" s="2"/>
      <c r="G102" s="63"/>
      <c r="H102" s="5"/>
      <c r="I102" s="20"/>
      <c r="J102" s="21"/>
      <c r="K102" s="21"/>
      <c r="L102" s="22"/>
      <c r="M102" s="2"/>
      <c r="N102" s="23"/>
      <c r="O102" s="19"/>
      <c r="P102" s="19"/>
      <c r="Q102" s="19"/>
      <c r="R102" s="24"/>
      <c r="T102" s="57"/>
      <c r="U102" s="2"/>
      <c r="V102" s="252"/>
      <c r="W102" s="199"/>
      <c r="X102" s="271"/>
      <c r="Y102" s="5"/>
      <c r="Z102" s="5"/>
      <c r="AA102" s="272"/>
      <c r="AB102" s="21"/>
      <c r="AC102" s="21"/>
      <c r="AD102" s="21">
        <f>(V144-Z131)*[2]NSW!$Z$119</f>
        <v>1007612.2457592668</v>
      </c>
      <c r="AE102" s="21"/>
      <c r="AF102" s="70"/>
      <c r="AG102" s="20"/>
      <c r="AH102" s="21"/>
      <c r="AI102" s="21"/>
      <c r="AJ102" s="22"/>
      <c r="AK102" s="29"/>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4"/>
      <c r="BS102" s="345"/>
      <c r="BT102" s="345"/>
      <c r="BU102" s="346"/>
      <c r="BV102" s="337"/>
      <c r="BW102" s="337"/>
      <c r="BX102" s="337"/>
      <c r="BY102" s="337"/>
      <c r="BZ102" s="337"/>
      <c r="CA102" s="337"/>
    </row>
    <row r="103" spans="1:81">
      <c r="A103" s="699"/>
      <c r="B103" s="23"/>
      <c r="C103" s="17" t="s">
        <v>18</v>
      </c>
      <c r="D103" s="57"/>
      <c r="E103" s="2"/>
      <c r="F103" s="2"/>
      <c r="G103" s="63"/>
      <c r="H103" s="5"/>
      <c r="I103" s="20"/>
      <c r="J103" s="21"/>
      <c r="K103" s="21"/>
      <c r="L103" s="22"/>
      <c r="M103" s="2"/>
      <c r="N103" s="23"/>
      <c r="O103" s="19"/>
      <c r="P103" s="19"/>
      <c r="Q103" s="19"/>
      <c r="R103" s="24"/>
      <c r="T103" s="57"/>
      <c r="U103" s="2"/>
      <c r="V103" s="252"/>
      <c r="W103" s="199"/>
      <c r="X103" s="271"/>
      <c r="Y103" s="5"/>
      <c r="Z103" s="5"/>
      <c r="AA103" s="272"/>
      <c r="AB103" s="21"/>
      <c r="AC103" s="21"/>
      <c r="AD103" s="21">
        <f>(V144-Z131)*[2]NSW!$Z$120</f>
        <v>2039589.1078856308</v>
      </c>
      <c r="AE103" s="21"/>
      <c r="AF103" s="70"/>
      <c r="AG103" s="20"/>
      <c r="AH103" s="21"/>
      <c r="AI103" s="21"/>
      <c r="AJ103" s="22"/>
      <c r="AK103" s="29"/>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37"/>
      <c r="BS103" s="337"/>
      <c r="BT103" s="345"/>
      <c r="BU103" s="346"/>
      <c r="BV103" s="337"/>
      <c r="BW103" s="337"/>
      <c r="BX103" s="337"/>
      <c r="BY103" s="337"/>
      <c r="BZ103" s="337"/>
      <c r="CA103" s="337"/>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52"/>
      <c r="W104" s="199"/>
      <c r="X104" s="273"/>
      <c r="Y104" s="2"/>
      <c r="Z104" s="2"/>
      <c r="AA104" s="274"/>
      <c r="AB104" s="21"/>
      <c r="AC104" s="21"/>
      <c r="AD104" s="21">
        <f>(V144-Z131)*[2]NSW!$Z$121</f>
        <v>886872.03576232097</v>
      </c>
      <c r="AE104" s="21"/>
      <c r="AF104" s="70"/>
      <c r="AG104" s="20"/>
      <c r="AH104" s="21"/>
      <c r="AI104" s="21"/>
      <c r="AJ104" s="22"/>
      <c r="AK104" s="29"/>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2185.616420039863</v>
      </c>
      <c r="BI104" s="52">
        <f>O144/1000</f>
        <v>2386.9664816426416</v>
      </c>
      <c r="BJ104" s="52">
        <f>P144/1000</f>
        <v>1736.8548759593812</v>
      </c>
      <c r="BK104" s="53">
        <f>Q144/1000</f>
        <v>6309.437777641886</v>
      </c>
      <c r="BL104" s="54">
        <f>R144/1000</f>
        <v>0.89658454018246925</v>
      </c>
      <c r="BM104" s="51">
        <f>Q145/1000</f>
        <v>9063.8831592885399</v>
      </c>
      <c r="BN104" s="54">
        <f>R145/1000</f>
        <v>1.2879970927735476</v>
      </c>
      <c r="BP104" s="30"/>
      <c r="BQ104" s="30"/>
      <c r="BR104" s="340"/>
      <c r="BS104" s="340"/>
      <c r="BT104" s="337"/>
      <c r="BU104" s="337"/>
      <c r="BV104" s="337"/>
      <c r="BW104" s="337"/>
      <c r="BX104" s="337"/>
      <c r="BY104" s="337"/>
      <c r="BZ104" s="337"/>
      <c r="CA104" s="340"/>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52"/>
      <c r="W105" s="199"/>
      <c r="X105" s="273"/>
      <c r="Y105" s="2"/>
      <c r="Z105" s="2"/>
      <c r="AA105" s="274"/>
      <c r="AB105" s="21"/>
      <c r="AC105" s="21"/>
      <c r="AD105" s="21">
        <f>(V144-Z131)*[2]NSW!$Z$122</f>
        <v>14077.333900989221</v>
      </c>
      <c r="AE105" s="21"/>
      <c r="AF105" s="70"/>
      <c r="AG105" s="20"/>
      <c r="AH105" s="21"/>
      <c r="AI105" s="21"/>
      <c r="AJ105" s="22"/>
      <c r="AK105" s="29"/>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0</v>
      </c>
      <c r="BI105" s="52">
        <f>AH144/1000</f>
        <v>0</v>
      </c>
      <c r="BJ105" s="52">
        <f>AI144/1000</f>
        <v>0</v>
      </c>
      <c r="BK105" s="53">
        <f>AJ144/1000</f>
        <v>9529</v>
      </c>
      <c r="BL105" s="54">
        <f>AK144/1000</f>
        <v>1.3540911860124329</v>
      </c>
      <c r="BM105" s="51">
        <f>AJ145/1000</f>
        <v>11594.697264150944</v>
      </c>
      <c r="BN105" s="54">
        <f>AK145/1000</f>
        <v>1.6476311648514284</v>
      </c>
      <c r="BR105" s="337"/>
      <c r="BS105" s="337"/>
      <c r="BT105" s="340"/>
      <c r="BU105" s="340"/>
      <c r="BV105" s="340"/>
      <c r="BW105" s="340"/>
      <c r="BX105" s="340"/>
      <c r="BY105" s="340"/>
      <c r="BZ105" s="340"/>
      <c r="CA105" s="337"/>
    </row>
    <row r="106" spans="1:81" s="106" customFormat="1">
      <c r="A106" s="699"/>
      <c r="B106" s="107" t="s">
        <v>67</v>
      </c>
      <c r="C106" s="108"/>
      <c r="D106" s="109"/>
      <c r="E106" s="110"/>
      <c r="F106" s="110"/>
      <c r="G106" s="111"/>
      <c r="H106" s="110"/>
      <c r="I106" s="112">
        <f>D$144*'[2]Lfill en &amp; composn'!B$133</f>
        <v>119395.55542317686</v>
      </c>
      <c r="J106" s="113">
        <f>E144*'[2]C&amp;I composn'!$E$10</f>
        <v>105894.99513276825</v>
      </c>
      <c r="K106" s="113">
        <f>F144*'[2]Lfill en &amp; composn'!C$133</f>
        <v>980953.02581698354</v>
      </c>
      <c r="L106" s="114">
        <f>SUM(I106:K106)</f>
        <v>1206243.5763729287</v>
      </c>
      <c r="M106" s="110"/>
      <c r="N106" s="112">
        <f>I106-AU106</f>
        <v>119395.55542317686</v>
      </c>
      <c r="O106" s="113">
        <f>J106-AV106</f>
        <v>105894.99513276825</v>
      </c>
      <c r="P106" s="113">
        <f>K106-AW106</f>
        <v>980953.02581698354</v>
      </c>
      <c r="Q106" s="114">
        <f>SUM(N106:P106)</f>
        <v>1206243.5763729287</v>
      </c>
      <c r="R106" s="115">
        <f>Q106/[2]Popn!$C$41*1000</f>
        <v>171.40978013964713</v>
      </c>
      <c r="T106" s="109"/>
      <c r="U106" s="110"/>
      <c r="V106" s="253"/>
      <c r="W106" s="203"/>
      <c r="X106" s="275"/>
      <c r="Y106" s="110"/>
      <c r="Z106" s="110"/>
      <c r="AA106" s="276"/>
      <c r="AB106" s="113"/>
      <c r="AC106" s="113">
        <f>(U$144-Y$131)*'[2]C&amp;I composn'!E$71</f>
        <v>124730.50067848613</v>
      </c>
      <c r="AD106" s="113">
        <f>SUM(AD101:AD105)</f>
        <v>4380216.586884723</v>
      </c>
      <c r="AE106" s="113"/>
      <c r="AF106" s="117"/>
      <c r="AG106" s="112"/>
      <c r="AH106" s="113"/>
      <c r="AI106" s="113"/>
      <c r="AJ106" s="114">
        <f>SUM(AB106:AD106)</f>
        <v>4504947.0875632092</v>
      </c>
      <c r="AK106" s="118">
        <f>AJ106/[2]Popn!$C$41*1000</f>
        <v>640.16257159426186</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198.88357996013724</v>
      </c>
      <c r="BI106" s="52">
        <f>AZ144/1000</f>
        <v>201.53351835735845</v>
      </c>
      <c r="BJ106" s="52">
        <f>BA144/1000</f>
        <v>22.605809487940487</v>
      </c>
      <c r="BK106" s="53">
        <f>BB144/1000</f>
        <v>423.02290780543615</v>
      </c>
      <c r="BL106" s="54">
        <f>BC144/1000</f>
        <v>6.0112455760383147E-2</v>
      </c>
      <c r="BM106" s="51">
        <f>BB145/1000</f>
        <v>423.02290780543615</v>
      </c>
      <c r="BN106" s="54">
        <f>BC145/1000</f>
        <v>6.0112455760383147E-2</v>
      </c>
      <c r="BO106" s="6"/>
      <c r="BR106" s="337"/>
      <c r="BS106" s="337"/>
      <c r="BT106" s="337"/>
      <c r="BU106" s="337"/>
      <c r="BV106" s="337"/>
      <c r="BW106" s="337"/>
      <c r="BX106" s="337"/>
      <c r="BY106" s="337"/>
      <c r="BZ106" s="337"/>
      <c r="CA106" s="337"/>
      <c r="CB106" s="6"/>
      <c r="CC106" s="6"/>
    </row>
    <row r="107" spans="1:81">
      <c r="A107" s="699"/>
      <c r="B107" s="23" t="s">
        <v>4</v>
      </c>
      <c r="C107" s="17" t="s">
        <v>19</v>
      </c>
      <c r="D107" s="57"/>
      <c r="E107" s="2"/>
      <c r="F107" s="2"/>
      <c r="G107" s="63"/>
      <c r="H107" s="2"/>
      <c r="I107" s="112"/>
      <c r="J107" s="21">
        <f>E144*'[2]C&amp;I composn'!$E$11</f>
        <v>70381.835054468625</v>
      </c>
      <c r="K107" s="113"/>
      <c r="L107" s="22"/>
      <c r="M107" s="2"/>
      <c r="N107" s="23"/>
      <c r="O107" s="19"/>
      <c r="P107" s="19"/>
      <c r="Q107" s="19"/>
      <c r="R107" s="33"/>
      <c r="T107" s="57"/>
      <c r="U107" s="2"/>
      <c r="V107" s="252"/>
      <c r="W107" s="199"/>
      <c r="X107" s="273"/>
      <c r="Y107" s="2"/>
      <c r="Z107" s="2"/>
      <c r="AA107" s="274"/>
      <c r="AB107" s="21">
        <f>(T144-X131-AB116)*[2]NSW!$H$110</f>
        <v>22916.692931777503</v>
      </c>
      <c r="AC107" s="21">
        <f>(U$144-Y$131)*SUMIF('[2]C&amp;I composn'!$B$71:$B$85,C107,'[2]C&amp;I composn'!$E$71:$E$85)</f>
        <v>446013.38326687342</v>
      </c>
      <c r="AD107" s="21"/>
      <c r="AE107" s="21"/>
      <c r="AF107" s="70"/>
      <c r="AG107" s="20"/>
      <c r="AH107" s="21"/>
      <c r="AI107" s="21"/>
      <c r="AJ107" s="22"/>
      <c r="AK107" s="29"/>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41">SUM(BH105:BH106)/BH108</f>
        <v>8.3406827410416121E-2</v>
      </c>
      <c r="BI107" s="86">
        <f t="shared" si="41"/>
        <v>7.7857260327355016E-2</v>
      </c>
      <c r="BJ107" s="86">
        <f t="shared" si="41"/>
        <v>1.2848146977602533E-2</v>
      </c>
      <c r="BK107" s="87">
        <f t="shared" si="41"/>
        <v>0.61200055150714006</v>
      </c>
      <c r="BL107" s="87">
        <f t="shared" si="41"/>
        <v>0.61200055150714006</v>
      </c>
      <c r="BM107" s="88">
        <f t="shared" si="41"/>
        <v>0.57005721923175501</v>
      </c>
      <c r="BN107" s="87">
        <f t="shared" si="41"/>
        <v>0.57005721923175501</v>
      </c>
      <c r="BR107" s="337"/>
      <c r="BS107" s="337"/>
      <c r="BT107" s="337"/>
      <c r="BU107" s="337"/>
      <c r="BV107" s="337"/>
      <c r="BW107" s="337"/>
      <c r="BX107" s="337"/>
      <c r="BY107" s="337"/>
      <c r="BZ107" s="337"/>
      <c r="CA107" s="337"/>
    </row>
    <row r="108" spans="1:81">
      <c r="A108" s="699"/>
      <c r="B108" s="23"/>
      <c r="C108" s="17" t="s">
        <v>20</v>
      </c>
      <c r="D108" s="57"/>
      <c r="E108" s="2"/>
      <c r="F108" s="2"/>
      <c r="G108" s="63"/>
      <c r="H108" s="2"/>
      <c r="I108" s="20"/>
      <c r="J108" s="21">
        <f>E144*'[2]C&amp;I composn'!$E$12</f>
        <v>9145.2735313586709</v>
      </c>
      <c r="K108" s="21"/>
      <c r="L108" s="22"/>
      <c r="M108" s="2"/>
      <c r="N108" s="23"/>
      <c r="O108" s="19"/>
      <c r="P108" s="19"/>
      <c r="Q108" s="19"/>
      <c r="R108" s="33"/>
      <c r="T108" s="57"/>
      <c r="U108" s="2"/>
      <c r="V108" s="252"/>
      <c r="W108" s="199"/>
      <c r="X108" s="273"/>
      <c r="Y108" s="2"/>
      <c r="Z108" s="2"/>
      <c r="AA108" s="274"/>
      <c r="AB108" s="724">
        <f>(T144-X131-AB116)*[2]NSW!$H$111</f>
        <v>6740.2038034639709</v>
      </c>
      <c r="AC108" s="21">
        <f>(U$144-Y$131)*SUMIF('[2]C&amp;I composn'!$B$71:$B$85,C108,'[2]C&amp;I composn'!$E$71:$E$85)</f>
        <v>50060.244123783996</v>
      </c>
      <c r="AD108" s="21"/>
      <c r="AE108" s="21"/>
      <c r="AF108" s="70"/>
      <c r="AG108" s="20"/>
      <c r="AH108" s="21"/>
      <c r="AI108" s="21"/>
      <c r="AJ108" s="22"/>
      <c r="AK108" s="29"/>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42">SUM(BH104:BH106)</f>
        <v>2384.5</v>
      </c>
      <c r="BI108" s="52">
        <f t="shared" si="42"/>
        <v>2588.5</v>
      </c>
      <c r="BJ108" s="52">
        <f t="shared" si="42"/>
        <v>1759.4606854473216</v>
      </c>
      <c r="BK108" s="74">
        <f t="shared" si="42"/>
        <v>16261.460685447322</v>
      </c>
      <c r="BL108" s="76">
        <f t="shared" si="42"/>
        <v>2.3107881819552851</v>
      </c>
      <c r="BM108" s="81">
        <f t="shared" si="42"/>
        <v>21081.603331244918</v>
      </c>
      <c r="BN108" s="76">
        <f t="shared" si="42"/>
        <v>2.9957407133853589</v>
      </c>
      <c r="BR108" s="106"/>
      <c r="BS108" s="106"/>
      <c r="BT108" s="106"/>
      <c r="BU108" s="106"/>
      <c r="BV108" s="106"/>
      <c r="BW108" s="106"/>
      <c r="BX108" s="106"/>
      <c r="BY108" s="106"/>
      <c r="BZ108" s="106"/>
      <c r="CA108" s="106"/>
    </row>
    <row r="109" spans="1:81">
      <c r="A109" s="699"/>
      <c r="B109" s="23"/>
      <c r="C109" s="17" t="s">
        <v>21</v>
      </c>
      <c r="D109" s="57"/>
      <c r="E109" s="2"/>
      <c r="F109" s="2"/>
      <c r="G109" s="63"/>
      <c r="H109" s="2"/>
      <c r="I109" s="20"/>
      <c r="J109" s="21">
        <f>E144*'[2]C&amp;I composn'!$E$13</f>
        <v>15.447119407548263</v>
      </c>
      <c r="K109" s="21"/>
      <c r="L109" s="22"/>
      <c r="M109" s="2"/>
      <c r="N109" s="23"/>
      <c r="O109" s="19"/>
      <c r="P109" s="19"/>
      <c r="Q109" s="19"/>
      <c r="R109" s="33"/>
      <c r="T109" s="57"/>
      <c r="U109" s="2"/>
      <c r="V109" s="252"/>
      <c r="W109" s="199"/>
      <c r="X109" s="273"/>
      <c r="Y109" s="2"/>
      <c r="Z109" s="2"/>
      <c r="AA109" s="274"/>
      <c r="AB109" s="724"/>
      <c r="AC109" s="21">
        <f>(U$144-Y$131)*SUMIF('[2]C&amp;I composn'!$B$71:$B$85,C109,'[2]C&amp;I composn'!$E$71:$E$85)</f>
        <v>137.27906961877366</v>
      </c>
      <c r="AD109" s="21"/>
      <c r="AE109" s="21"/>
      <c r="AF109" s="70"/>
      <c r="AG109" s="20"/>
      <c r="AH109" s="21"/>
      <c r="AI109" s="21"/>
      <c r="AJ109" s="22"/>
      <c r="AK109" s="29"/>
      <c r="AL109" s="19"/>
      <c r="AM109" s="57"/>
      <c r="AN109" s="2"/>
      <c r="AO109" s="2"/>
      <c r="AP109" s="63"/>
      <c r="AQ109" s="68"/>
      <c r="AR109" s="21"/>
      <c r="AS109" s="21"/>
      <c r="AT109" s="21"/>
      <c r="AU109" s="25"/>
      <c r="AV109" s="21"/>
      <c r="AW109" s="22"/>
      <c r="AX109" s="2"/>
      <c r="AY109" s="23"/>
      <c r="AZ109" s="19"/>
      <c r="BA109" s="19"/>
      <c r="BB109" s="19"/>
      <c r="BC109" s="24"/>
      <c r="BD109" s="30"/>
      <c r="BT109" s="106"/>
      <c r="BU109" s="106"/>
      <c r="BV109" s="106"/>
      <c r="BW109" s="106"/>
      <c r="BX109" s="106"/>
      <c r="BY109" s="106"/>
      <c r="BZ109" s="106"/>
    </row>
    <row r="110" spans="1:81" s="106" customFormat="1">
      <c r="A110" s="699"/>
      <c r="B110" s="107" t="s">
        <v>67</v>
      </c>
      <c r="C110" s="108"/>
      <c r="D110" s="109"/>
      <c r="E110" s="110"/>
      <c r="F110" s="110"/>
      <c r="G110" s="111"/>
      <c r="H110" s="110"/>
      <c r="I110" s="112">
        <f>D$144*'[2]Lfill en &amp; composn'!B$134</f>
        <v>83214.975419570284</v>
      </c>
      <c r="J110" s="113">
        <f>SUM(J107:J109)</f>
        <v>79542.555705234845</v>
      </c>
      <c r="K110" s="113">
        <f>F144*'[2]Lfill en &amp; composn'!C$134</f>
        <v>60917.949686840198</v>
      </c>
      <c r="L110" s="114">
        <f>SUM(I110:K110)</f>
        <v>223675.48081164534</v>
      </c>
      <c r="M110" s="110"/>
      <c r="N110" s="112">
        <f>I110-AU110</f>
        <v>83214.975419570284</v>
      </c>
      <c r="O110" s="113">
        <f>J110-AV110</f>
        <v>79542.555705234845</v>
      </c>
      <c r="P110" s="113">
        <f>K110-AW110</f>
        <v>60917.949686840198</v>
      </c>
      <c r="Q110" s="114">
        <f>SUM(N110:P110)</f>
        <v>223675.48081164534</v>
      </c>
      <c r="R110" s="115">
        <f>Q110/[2]Popn!$C$41*1000</f>
        <v>31.78476199959513</v>
      </c>
      <c r="T110" s="109"/>
      <c r="U110" s="110"/>
      <c r="V110" s="253"/>
      <c r="W110" s="203"/>
      <c r="X110" s="275"/>
      <c r="Y110" s="110"/>
      <c r="Z110" s="110"/>
      <c r="AA110" s="276"/>
      <c r="AB110" s="113">
        <f>SUM(AB107:AB109)</f>
        <v>29656.896735241473</v>
      </c>
      <c r="AC110" s="113">
        <f>SUM(AC107:AC109)</f>
        <v>496210.90646027622</v>
      </c>
      <c r="AD110" s="113">
        <f>(V144-Z131)*[2]NSW!$Z$123</f>
        <v>256189.30544675307</v>
      </c>
      <c r="AE110" s="113"/>
      <c r="AF110" s="117"/>
      <c r="AG110" s="112"/>
      <c r="AH110" s="113"/>
      <c r="AI110" s="113"/>
      <c r="AJ110" s="114">
        <f>SUM(AB110:AD110)</f>
        <v>782057.10864227079</v>
      </c>
      <c r="AK110" s="118">
        <f>AJ110/[2]Popn!$C$41*1000</f>
        <v>111.13198003682089</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c r="BR110" s="6"/>
      <c r="BS110" s="6"/>
      <c r="BT110" s="6"/>
      <c r="BU110" s="6"/>
      <c r="BV110" s="6"/>
      <c r="BW110" s="6"/>
      <c r="BX110" s="6"/>
      <c r="BY110" s="6"/>
      <c r="BZ110" s="6"/>
      <c r="CA110" s="6"/>
      <c r="CB110" s="6"/>
      <c r="CC110" s="6"/>
    </row>
    <row r="111" spans="1:81">
      <c r="A111" s="699"/>
      <c r="B111" s="23" t="s">
        <v>2</v>
      </c>
      <c r="C111" s="17" t="s">
        <v>22</v>
      </c>
      <c r="D111" s="57"/>
      <c r="E111" s="2"/>
      <c r="F111" s="2"/>
      <c r="G111" s="63"/>
      <c r="H111" s="2"/>
      <c r="I111" s="20"/>
      <c r="J111" s="21">
        <f>E144*'[2]C&amp;I composn'!$E$14</f>
        <v>663983.85285841802</v>
      </c>
      <c r="K111" s="21"/>
      <c r="L111" s="22"/>
      <c r="M111" s="2"/>
      <c r="N111" s="20"/>
      <c r="O111" s="21"/>
      <c r="P111" s="21"/>
      <c r="Q111" s="21"/>
      <c r="R111" s="34"/>
      <c r="T111" s="57"/>
      <c r="U111" s="2"/>
      <c r="V111" s="252"/>
      <c r="W111" s="199"/>
      <c r="X111" s="273"/>
      <c r="Y111" s="2"/>
      <c r="Z111" s="2"/>
      <c r="AA111" s="274"/>
      <c r="AB111" s="21"/>
      <c r="AC111" s="21">
        <f>(U$144-Y$131)*SUMIF('[2]C&amp;I composn'!$B$71:$B$85,C111,'[2]C&amp;I composn'!$E$71:$E$85)</f>
        <v>231401.56992319162</v>
      </c>
      <c r="AD111" s="21"/>
      <c r="AE111" s="21"/>
      <c r="AF111" s="70"/>
      <c r="AG111" s="20"/>
      <c r="AH111" s="21"/>
      <c r="AI111" s="21"/>
      <c r="AJ111" s="22"/>
      <c r="AK111" s="29"/>
      <c r="AL111" s="19"/>
      <c r="AM111" s="57"/>
      <c r="AN111" s="2"/>
      <c r="AO111" s="2"/>
      <c r="AP111" s="63"/>
      <c r="AQ111" s="70"/>
      <c r="AR111" s="21">
        <f>L116*'[2]Lfill en &amp; composn'!$C$82/SUM('[2]Lfill en &amp; composn'!$C$82,'[2]Lfill en &amp; composn'!$C$84:$C$85,'[2]Lfill en &amp; composn'!$C$87:$C$88)*'[2]Lfill en &amp; composn'!$D$16</f>
        <v>179021.31136979238</v>
      </c>
      <c r="AS111" s="35">
        <f>AR111/SUM($AR$101:$AR$143)</f>
        <v>0.36262671492180953</v>
      </c>
      <c r="AT111" s="21">
        <f>AS111*'[2]Lfill en &amp; composn'!$C$62/'[2]Lfill en &amp; composn'!$B$16</f>
        <v>236451.860317666</v>
      </c>
      <c r="AU111" s="25"/>
      <c r="AV111" s="21"/>
      <c r="AW111" s="22"/>
      <c r="AX111" s="82"/>
      <c r="AY111" s="20"/>
      <c r="AZ111" s="21"/>
      <c r="BA111" s="21"/>
      <c r="BB111" s="21"/>
      <c r="BC111" s="29"/>
      <c r="BD111" s="30"/>
    </row>
    <row r="112" spans="1:81">
      <c r="A112" s="699"/>
      <c r="B112" s="23"/>
      <c r="C112" s="17" t="s">
        <v>23</v>
      </c>
      <c r="D112" s="57"/>
      <c r="E112" s="2"/>
      <c r="F112" s="2"/>
      <c r="G112" s="63"/>
      <c r="H112" s="2"/>
      <c r="I112" s="20"/>
      <c r="J112" s="21">
        <f>E144*'[2]C&amp;I composn'!$E$15</f>
        <v>24605.86235270715</v>
      </c>
      <c r="K112" s="21"/>
      <c r="L112" s="22"/>
      <c r="M112" s="2"/>
      <c r="N112" s="20"/>
      <c r="O112" s="21"/>
      <c r="P112" s="21"/>
      <c r="Q112" s="21"/>
      <c r="R112" s="34"/>
      <c r="T112" s="201"/>
      <c r="U112" s="2"/>
      <c r="V112" s="252"/>
      <c r="W112" s="199"/>
      <c r="X112" s="273"/>
      <c r="Y112" s="2"/>
      <c r="Z112" s="2"/>
      <c r="AA112" s="274"/>
      <c r="AB112" s="21"/>
      <c r="AC112" s="21">
        <f>(U$144-Y$131)*SUMIF('[2]C&amp;I composn'!$B$71:$B$85,C112,'[2]C&amp;I composn'!$E$71:$E$85)</f>
        <v>0</v>
      </c>
      <c r="AD112" s="21">
        <f>(V144-Z131)*[2]NSW!$Z$125</f>
        <v>36276.20659101069</v>
      </c>
      <c r="AE112" s="21"/>
      <c r="AF112" s="70"/>
      <c r="AG112" s="20"/>
      <c r="AH112" s="21"/>
      <c r="AI112" s="21"/>
      <c r="AJ112" s="22"/>
      <c r="AK112" s="29"/>
      <c r="AL112" s="19"/>
      <c r="AM112" s="57"/>
      <c r="AN112" s="2"/>
      <c r="AO112" s="2"/>
      <c r="AP112" s="63"/>
      <c r="AQ112" s="68"/>
      <c r="AR112" s="21">
        <f>L116*'[2]Lfill en &amp; composn'!$C$84/SUM('[2]Lfill en &amp; composn'!$C$82,'[2]Lfill en &amp; composn'!$C$84:$C$85,'[2]Lfill en &amp; composn'!$C$87:$C$88)*'[2]Lfill en &amp; composn'!$D$18</f>
        <v>49277.172549726201</v>
      </c>
      <c r="AS112" s="35">
        <f>AR112/SUM($AR$101:$AR$143)</f>
        <v>9.9816156331416467E-2</v>
      </c>
      <c r="AT112" s="21">
        <f>AS112*'[2]Lfill en &amp; composn'!$C$62/'[2]Lfill en &amp; composn'!$B$18</f>
        <v>48814.072880864813</v>
      </c>
      <c r="AU112" s="25"/>
      <c r="AV112" s="21"/>
      <c r="AW112" s="22"/>
      <c r="AX112" s="2"/>
      <c r="AY112" s="20"/>
      <c r="AZ112" s="21"/>
      <c r="BA112" s="21"/>
      <c r="BB112" s="21"/>
      <c r="BC112" s="29"/>
      <c r="BD112" s="36"/>
    </row>
    <row r="113" spans="1:81">
      <c r="A113" s="699"/>
      <c r="B113" s="23"/>
      <c r="C113" s="17" t="s">
        <v>24</v>
      </c>
      <c r="D113" s="57"/>
      <c r="E113" s="2"/>
      <c r="F113" s="2"/>
      <c r="G113" s="63"/>
      <c r="H113" s="2"/>
      <c r="I113" s="20"/>
      <c r="J113" s="21">
        <f>E144*'[2]C&amp;I composn'!$E$16</f>
        <v>220515.23626807792</v>
      </c>
      <c r="K113" s="21"/>
      <c r="L113" s="22"/>
      <c r="M113" s="2"/>
      <c r="N113" s="20"/>
      <c r="O113" s="21"/>
      <c r="P113" s="21"/>
      <c r="Q113" s="21"/>
      <c r="R113" s="34"/>
      <c r="T113" s="57"/>
      <c r="U113" s="2"/>
      <c r="V113" s="252"/>
      <c r="W113" s="199"/>
      <c r="X113" s="273"/>
      <c r="Y113" s="2"/>
      <c r="Z113" s="2"/>
      <c r="AA113" s="274"/>
      <c r="AB113" s="21"/>
      <c r="AC113" s="21">
        <f>(U$144-Y$131)*SUMIF('[2]C&amp;I composn'!$B$71:$B$85,C113,'[2]C&amp;I composn'!$E$71:$E$85)</f>
        <v>154280.94775822779</v>
      </c>
      <c r="AD113" s="21">
        <f>(V144-Z131)*[2]NSW!$Z$124</f>
        <v>148353.44187965564</v>
      </c>
      <c r="AE113" s="21"/>
      <c r="AF113" s="70"/>
      <c r="AG113" s="20"/>
      <c r="AH113" s="21"/>
      <c r="AI113" s="21"/>
      <c r="AJ113" s="22"/>
      <c r="AK113" s="29"/>
      <c r="AL113" s="19"/>
      <c r="AM113" s="57"/>
      <c r="AN113" s="2"/>
      <c r="AO113" s="2"/>
      <c r="AP113" s="63"/>
      <c r="AQ113" s="70"/>
      <c r="AR113" s="21">
        <f>L116*'[2]Lfill en &amp; composn'!$C$85/SUM('[2]Lfill en &amp; composn'!$C$82,'[2]Lfill en &amp; composn'!$C$84:$C$85,'[2]Lfill en &amp; composn'!$C$87:$C$88)*'[2]Lfill en &amp; composn'!$D$19</f>
        <v>50750.291928680148</v>
      </c>
      <c r="AS113" s="35">
        <f>AR113/SUM($AR$101:$AR$143)</f>
        <v>0.10280011638058782</v>
      </c>
      <c r="AT113" s="21">
        <f>AS113*'[2]Lfill en &amp; composn'!$C$62/'[2]Lfill en &amp; composn'!$B$19</f>
        <v>23382.95260423216</v>
      </c>
      <c r="AU113" s="25"/>
      <c r="AV113" s="21"/>
      <c r="AW113" s="22"/>
      <c r="AX113" s="2"/>
      <c r="AY113" s="20"/>
      <c r="AZ113" s="21"/>
      <c r="BA113" s="21"/>
      <c r="BB113" s="21"/>
      <c r="BC113" s="29"/>
    </row>
    <row r="114" spans="1:81">
      <c r="A114" s="699"/>
      <c r="B114" s="23"/>
      <c r="C114" s="17" t="s">
        <v>25</v>
      </c>
      <c r="D114" s="57"/>
      <c r="E114" s="2"/>
      <c r="F114" s="2"/>
      <c r="G114" s="63"/>
      <c r="H114" s="2"/>
      <c r="I114" s="20"/>
      <c r="J114" s="21">
        <f>E144*'[2]C&amp;I composn'!$E$17</f>
        <v>194716.45099337888</v>
      </c>
      <c r="K114" s="21"/>
      <c r="L114" s="22"/>
      <c r="M114" s="2"/>
      <c r="N114" s="20"/>
      <c r="O114" s="21"/>
      <c r="P114" s="21"/>
      <c r="Q114" s="21"/>
      <c r="R114" s="34"/>
      <c r="T114" s="57"/>
      <c r="U114" s="2"/>
      <c r="V114" s="252"/>
      <c r="W114" s="199"/>
      <c r="X114" s="273"/>
      <c r="Y114" s="2"/>
      <c r="Z114" s="2"/>
      <c r="AA114" s="274"/>
      <c r="AB114" s="21"/>
      <c r="AC114" s="21">
        <f>(U$144-Y$131)*SUMIF('[2]C&amp;I composn'!$B$71:$B$85,C114,'[2]C&amp;I composn'!$E$71:$E$85)</f>
        <v>120169.22449469504</v>
      </c>
      <c r="AD114" s="21"/>
      <c r="AE114" s="21"/>
      <c r="AF114" s="70"/>
      <c r="AG114" s="20"/>
      <c r="AH114" s="21"/>
      <c r="AI114" s="21"/>
      <c r="AJ114" s="22"/>
      <c r="AK114" s="29"/>
      <c r="AL114" s="19"/>
      <c r="AM114" s="57"/>
      <c r="AN114" s="2"/>
      <c r="AO114" s="2"/>
      <c r="AP114" s="63"/>
      <c r="AQ114" s="68"/>
      <c r="AR114" s="21">
        <f>L116*'[2]Lfill en &amp; composn'!$C$93/SUM('[2]Lfill en &amp; composn'!$C$82,'[2]Lfill en &amp; composn'!$C$84:$C$85,'[2]Lfill en &amp; composn'!$C$87:$C$88)*'[2]Lfill en &amp; composn'!$D$24</f>
        <v>10634.589733570116</v>
      </c>
      <c r="AS114" s="35">
        <f>AR114/SUM($AR$101:$AR$143)</f>
        <v>2.1541493077658517E-2</v>
      </c>
      <c r="AT114" s="21">
        <f>AS114*'[2]Lfill en &amp; composn'!$C$62/'[2]Lfill en &amp; composn'!$B$24</f>
        <v>8778.8728440256382</v>
      </c>
      <c r="AU114" s="25"/>
      <c r="AV114" s="21"/>
      <c r="AW114" s="22"/>
      <c r="AX114" s="83"/>
      <c r="AY114" s="20"/>
      <c r="AZ114" s="21"/>
      <c r="BA114" s="21"/>
      <c r="BB114" s="21"/>
      <c r="BC114" s="29"/>
      <c r="BR114" s="106"/>
      <c r="BS114" s="106"/>
      <c r="CA114" s="106"/>
    </row>
    <row r="115" spans="1:81">
      <c r="A115" s="699"/>
      <c r="B115" s="23"/>
      <c r="C115" s="17" t="s">
        <v>0</v>
      </c>
      <c r="D115" s="57"/>
      <c r="E115" s="2"/>
      <c r="F115" s="2"/>
      <c r="G115" s="199"/>
      <c r="H115" s="198">
        <f>[2]Biosolids!$C$198</f>
        <v>10893.666157967193</v>
      </c>
      <c r="I115" s="112"/>
      <c r="J115" s="113"/>
      <c r="K115" s="113"/>
      <c r="L115" s="22"/>
      <c r="M115" s="2"/>
      <c r="N115" s="23"/>
      <c r="O115" s="19"/>
      <c r="P115" s="19"/>
      <c r="Q115" s="19"/>
      <c r="R115" s="34"/>
      <c r="T115" s="57"/>
      <c r="U115" s="2"/>
      <c r="V115" s="252"/>
      <c r="W115" s="199"/>
      <c r="X115" s="277"/>
      <c r="Y115" s="198"/>
      <c r="Z115" s="198"/>
      <c r="AA115" s="278">
        <f>[2]Biosolids!$C$197</f>
        <v>134100</v>
      </c>
      <c r="AB115" s="21">
        <f>AA115</f>
        <v>134100</v>
      </c>
      <c r="AC115" s="21"/>
      <c r="AD115" s="21"/>
      <c r="AE115" s="21"/>
      <c r="AF115" s="68" t="s">
        <v>193</v>
      </c>
      <c r="AG115" s="20"/>
      <c r="AH115" s="21"/>
      <c r="AI115" s="21"/>
      <c r="AJ115" s="22"/>
      <c r="AK115" s="29"/>
      <c r="AL115" s="19"/>
      <c r="AM115" s="57"/>
      <c r="AN115" s="2"/>
      <c r="AO115" s="2"/>
      <c r="AP115" s="63"/>
      <c r="AQ115" s="68"/>
      <c r="AR115" s="21">
        <f>L116*'[2]Lfill en &amp; composn'!$C$87/SUM('[2]Lfill en &amp; composn'!$C$82,'[2]Lfill en &amp; composn'!$C$84:$C$85,'[2]Lfill en &amp; composn'!$C$87:$C$88)*'[2]Lfill en &amp; composn'!$D$21</f>
        <v>1125.6370181702239</v>
      </c>
      <c r="AS115" s="35">
        <f>AR115/SUM($AR$101:$AR$143)</f>
        <v>2.2800975535828068E-3</v>
      </c>
      <c r="AT115" s="21">
        <f>AS115*'[2]Lfill en &amp; composn'!$C$62/'[2]Lfill en &amp; composn'!$B$21</f>
        <v>4460.2337836581864</v>
      </c>
      <c r="AU115" s="25"/>
      <c r="AV115" s="21"/>
      <c r="AW115" s="22"/>
      <c r="AX115" s="2"/>
      <c r="AY115" s="23"/>
      <c r="AZ115" s="19"/>
      <c r="BA115" s="19"/>
      <c r="BB115" s="21"/>
      <c r="BC115" s="24"/>
      <c r="BT115" s="106"/>
      <c r="BU115" s="106"/>
      <c r="BV115" s="106"/>
      <c r="BW115" s="106"/>
      <c r="BX115" s="106"/>
      <c r="BY115" s="106"/>
      <c r="BZ115" s="106"/>
    </row>
    <row r="116" spans="1:81" s="106" customFormat="1">
      <c r="A116" s="699"/>
      <c r="B116" s="107" t="s">
        <v>67</v>
      </c>
      <c r="C116" s="108"/>
      <c r="D116" s="109"/>
      <c r="E116" s="110"/>
      <c r="F116" s="110"/>
      <c r="G116" s="111"/>
      <c r="H116" s="110"/>
      <c r="I116" s="112">
        <f>D$144*'[2]Lfill en &amp; composn'!B$135</f>
        <v>1347242.5000000002</v>
      </c>
      <c r="J116" s="113">
        <f>SUM(J111:J115)</f>
        <v>1103821.4024725819</v>
      </c>
      <c r="K116" s="113">
        <f>F144*'[2]Lfill en &amp; composn'!C$135</f>
        <v>140760</v>
      </c>
      <c r="L116" s="114">
        <f>SUM(I116:K116)</f>
        <v>2591823.9024725822</v>
      </c>
      <c r="M116" s="110"/>
      <c r="N116" s="112">
        <f>I116-AU116</f>
        <v>1179923.5771255463</v>
      </c>
      <c r="O116" s="113">
        <f>J116-AV116</f>
        <v>966733.82684497104</v>
      </c>
      <c r="P116" s="113">
        <f>K116-AW116</f>
        <v>123278.50607161803</v>
      </c>
      <c r="Q116" s="114">
        <f>SUM(N116:P116)</f>
        <v>2269935.910042135</v>
      </c>
      <c r="R116" s="115">
        <f>Q116/[2]Popn!$C$41*1000</f>
        <v>322.56272521787866</v>
      </c>
      <c r="T116" s="109"/>
      <c r="U116" s="110"/>
      <c r="V116" s="253"/>
      <c r="W116" s="203"/>
      <c r="X116" s="275"/>
      <c r="Y116" s="110"/>
      <c r="Z116" s="110"/>
      <c r="AA116" s="276"/>
      <c r="AB116" s="113">
        <f>T144*[2]NSW!$L$156</f>
        <v>635043.99082964822</v>
      </c>
      <c r="AC116" s="113">
        <f>SUM(AC111:AC115)</f>
        <v>505851.74217611441</v>
      </c>
      <c r="AD116" s="113">
        <f>SUM(AD111:AD115)</f>
        <v>184629.64847066632</v>
      </c>
      <c r="AE116" s="113"/>
      <c r="AF116" s="117"/>
      <c r="AG116" s="112"/>
      <c r="AH116" s="113"/>
      <c r="AI116" s="113"/>
      <c r="AJ116" s="114">
        <f>SUM(AB116:AD116)</f>
        <v>1325525.3814764288</v>
      </c>
      <c r="AK116" s="118">
        <f>AJ116/[2]Popn!$C$41*1000</f>
        <v>188.35997858043865</v>
      </c>
      <c r="AL116" s="119"/>
      <c r="AM116" s="109"/>
      <c r="AN116" s="110"/>
      <c r="AO116" s="110"/>
      <c r="AP116" s="111"/>
      <c r="AQ116" s="116"/>
      <c r="AR116" s="113"/>
      <c r="AS116" s="113"/>
      <c r="AT116" s="113">
        <f>SUM(AT111:AT115)</f>
        <v>321887.99243044684</v>
      </c>
      <c r="AU116" s="120">
        <f>$AT116*I116/SUM($I116:$K116)</f>
        <v>167318.922874454</v>
      </c>
      <c r="AV116" s="113">
        <f>$AT116*J116/SUM($I116:$K116)</f>
        <v>137087.57562761087</v>
      </c>
      <c r="AW116" s="114">
        <f>$AT116*K116/SUM($I116:$K116)</f>
        <v>17481.493928381966</v>
      </c>
      <c r="AX116" s="110"/>
      <c r="AY116" s="241">
        <f>AU116</f>
        <v>167318.922874454</v>
      </c>
      <c r="AZ116" s="242">
        <f>AV116</f>
        <v>137087.57562761087</v>
      </c>
      <c r="BA116" s="242">
        <f>AW116</f>
        <v>17481.493928381966</v>
      </c>
      <c r="BB116" s="243">
        <f>AT116+AP116</f>
        <v>321887.99243044684</v>
      </c>
      <c r="BC116" s="118">
        <f>BB116/[2]Popn!$C$41*1000</f>
        <v>45.74096898240159</v>
      </c>
      <c r="BD116" s="122"/>
      <c r="BG116" s="146"/>
      <c r="BH116" s="138" t="s">
        <v>72</v>
      </c>
      <c r="BI116" s="138" t="s">
        <v>68</v>
      </c>
      <c r="BJ116" s="138" t="s">
        <v>69</v>
      </c>
      <c r="BK116" s="138" t="s">
        <v>73</v>
      </c>
      <c r="BL116" s="138" t="s">
        <v>78</v>
      </c>
      <c r="BM116" s="6"/>
      <c r="BN116" s="6"/>
      <c r="BO116" s="6"/>
      <c r="BR116" s="6"/>
      <c r="BS116" s="6"/>
      <c r="BT116" s="6"/>
      <c r="BU116" s="6"/>
      <c r="BV116" s="6"/>
      <c r="BW116" s="6"/>
      <c r="BX116" s="6"/>
      <c r="BY116" s="6"/>
      <c r="BZ116" s="6"/>
      <c r="CA116" s="6"/>
      <c r="CB116" s="6"/>
      <c r="CC116" s="6"/>
    </row>
    <row r="117" spans="1:81">
      <c r="A117" s="699"/>
      <c r="B117" s="23" t="s">
        <v>5</v>
      </c>
      <c r="C117" s="17" t="s">
        <v>26</v>
      </c>
      <c r="D117" s="57"/>
      <c r="E117" s="2"/>
      <c r="F117" s="2"/>
      <c r="G117" s="63"/>
      <c r="H117" s="2"/>
      <c r="I117" s="20"/>
      <c r="J117" s="21">
        <f>E144*'[2]C&amp;I composn'!$E$18</f>
        <v>355787.9682308964</v>
      </c>
      <c r="K117" s="21"/>
      <c r="L117" s="22"/>
      <c r="M117" s="2"/>
      <c r="N117" s="23"/>
      <c r="O117" s="19"/>
      <c r="P117" s="19"/>
      <c r="Q117" s="19"/>
      <c r="R117" s="33"/>
      <c r="T117" s="57"/>
      <c r="U117" s="2"/>
      <c r="V117" s="252"/>
      <c r="W117" s="199"/>
      <c r="X117" s="273"/>
      <c r="Y117" s="2"/>
      <c r="Z117" s="2"/>
      <c r="AA117" s="274"/>
      <c r="AB117" s="21"/>
      <c r="AC117" s="21">
        <f>(U$144-Y$131)*SUMIF('[2]C&amp;I composn'!$B$71:$B$85,C117,'[2]C&amp;I composn'!$E$71:$E$85)</f>
        <v>1019366.5256281688</v>
      </c>
      <c r="AD117" s="21"/>
      <c r="AE117" s="21"/>
      <c r="AF117" s="70"/>
      <c r="AG117" s="20"/>
      <c r="AH117" s="21"/>
      <c r="AI117" s="21"/>
      <c r="AJ117" s="22"/>
      <c r="AK117" s="29"/>
      <c r="AL117" s="19"/>
      <c r="AM117" s="57"/>
      <c r="AN117" s="2"/>
      <c r="AO117" s="2"/>
      <c r="AP117" s="63"/>
      <c r="AQ117" s="68"/>
      <c r="AR117" s="21"/>
      <c r="AS117" s="21"/>
      <c r="AT117" s="21"/>
      <c r="AU117" s="240"/>
      <c r="AV117" s="19"/>
      <c r="AW117" s="195"/>
      <c r="AX117" s="2"/>
      <c r="AY117" s="238"/>
      <c r="BB117" s="19"/>
      <c r="BC117" s="24"/>
      <c r="BG117" s="147" t="s">
        <v>3</v>
      </c>
      <c r="BH117" s="52">
        <f>Q106/1000</f>
        <v>1206.2435763729286</v>
      </c>
      <c r="BI117" s="52">
        <f>AJ106/1000</f>
        <v>4504.9470875632096</v>
      </c>
      <c r="BJ117" s="52">
        <f>BB106/1000</f>
        <v>0</v>
      </c>
      <c r="BK117" s="137">
        <f>SUM(BI117:BJ117)/BL117</f>
        <v>0.78879297727006914</v>
      </c>
      <c r="BL117" s="52">
        <f>SUM(BH117:BJ117)</f>
        <v>5711.1906639361387</v>
      </c>
    </row>
    <row r="118" spans="1:81">
      <c r="A118" s="699"/>
      <c r="B118" s="23"/>
      <c r="C118" s="17" t="s">
        <v>27</v>
      </c>
      <c r="D118" s="57"/>
      <c r="E118" s="2"/>
      <c r="F118" s="2"/>
      <c r="G118" s="63"/>
      <c r="H118" s="2"/>
      <c r="I118" s="20"/>
      <c r="J118" s="725">
        <f>E144*'[2]C&amp;I composn'!$E$20</f>
        <v>116966.64361437177</v>
      </c>
      <c r="K118" s="21"/>
      <c r="L118" s="22"/>
      <c r="M118" s="2"/>
      <c r="N118" s="23"/>
      <c r="O118" s="19"/>
      <c r="P118" s="19"/>
      <c r="Q118" s="19"/>
      <c r="R118" s="33"/>
      <c r="T118" s="57"/>
      <c r="U118" s="2"/>
      <c r="V118" s="252"/>
      <c r="W118" s="199"/>
      <c r="X118" s="273"/>
      <c r="Y118" s="2"/>
      <c r="Z118" s="2"/>
      <c r="AA118" s="274"/>
      <c r="AB118" s="21"/>
      <c r="AC118" s="21"/>
      <c r="AD118" s="21"/>
      <c r="AE118" s="21"/>
      <c r="AF118" s="70"/>
      <c r="AG118" s="20"/>
      <c r="AH118" s="21"/>
      <c r="AI118" s="21"/>
      <c r="AJ118" s="22"/>
      <c r="AK118" s="29"/>
      <c r="AL118" s="19"/>
      <c r="AM118" s="57"/>
      <c r="AN118" s="2"/>
      <c r="AO118" s="2"/>
      <c r="AP118" s="63"/>
      <c r="AQ118" s="68"/>
      <c r="AR118" s="21"/>
      <c r="AS118" s="21"/>
      <c r="AT118" s="21"/>
      <c r="AU118" s="240"/>
      <c r="AV118" s="19"/>
      <c r="AW118" s="195"/>
      <c r="AX118" s="2"/>
      <c r="AY118" s="238"/>
      <c r="BB118" s="19"/>
      <c r="BC118" s="24"/>
      <c r="BG118" s="147" t="s">
        <v>4</v>
      </c>
      <c r="BH118" s="52">
        <f>Q110/1000</f>
        <v>223.67548081164534</v>
      </c>
      <c r="BI118" s="52">
        <f>AJ110/1000</f>
        <v>782.0571086422708</v>
      </c>
      <c r="BJ118" s="52">
        <f>BB110/1000</f>
        <v>0</v>
      </c>
      <c r="BK118" s="137">
        <f t="shared" ref="BK118:BK125" si="43">SUM(BI118:BJ118)/BL118</f>
        <v>0.77759945023448562</v>
      </c>
      <c r="BL118" s="52">
        <f t="shared" ref="BL118:BL125" si="44">SUM(BH118:BJ118)</f>
        <v>1005.7325894539161</v>
      </c>
    </row>
    <row r="119" spans="1:81">
      <c r="A119" s="699"/>
      <c r="B119" s="23"/>
      <c r="C119" s="17" t="s">
        <v>28</v>
      </c>
      <c r="D119" s="57"/>
      <c r="E119" s="2"/>
      <c r="F119" s="2"/>
      <c r="G119" s="63"/>
      <c r="H119" s="2"/>
      <c r="I119" s="20"/>
      <c r="J119" s="725"/>
      <c r="K119" s="21"/>
      <c r="L119" s="22"/>
      <c r="M119" s="2"/>
      <c r="N119" s="23"/>
      <c r="O119" s="19"/>
      <c r="P119" s="19"/>
      <c r="Q119" s="19"/>
      <c r="R119" s="33"/>
      <c r="T119" s="57"/>
      <c r="U119" s="2"/>
      <c r="V119" s="252"/>
      <c r="W119" s="199"/>
      <c r="X119" s="273"/>
      <c r="Y119" s="2"/>
      <c r="Z119" s="2"/>
      <c r="AA119" s="274"/>
      <c r="AB119" s="21"/>
      <c r="AC119" s="21">
        <f>(U$144-Y$131)*SUMIF('[2]C&amp;I composn'!$B$71:$B$85,C119,'[2]C&amp;I composn'!$E$71:$E$85)</f>
        <v>156781.35385473623</v>
      </c>
      <c r="AD119" s="21"/>
      <c r="AE119" s="21"/>
      <c r="AF119" s="70"/>
      <c r="AG119" s="20"/>
      <c r="AH119" s="21"/>
      <c r="AI119" s="21"/>
      <c r="AJ119" s="22"/>
      <c r="AK119" s="29"/>
      <c r="AL119" s="19"/>
      <c r="AM119" s="57"/>
      <c r="AN119" s="2"/>
      <c r="AO119" s="2"/>
      <c r="AP119" s="63"/>
      <c r="AQ119" s="68"/>
      <c r="AR119" s="21"/>
      <c r="AS119" s="21"/>
      <c r="AT119" s="21"/>
      <c r="AU119" s="240"/>
      <c r="AV119" s="19"/>
      <c r="AW119" s="195"/>
      <c r="AX119" s="2"/>
      <c r="AY119" s="238"/>
      <c r="BB119" s="19"/>
      <c r="BC119" s="24"/>
      <c r="BG119" s="147" t="s">
        <v>2</v>
      </c>
      <c r="BH119" s="52">
        <f>Q116/1000</f>
        <v>2269.9359100421352</v>
      </c>
      <c r="BI119" s="52">
        <f>AJ116/1000</f>
        <v>1325.5253814764287</v>
      </c>
      <c r="BJ119" s="52">
        <f>BB116/1000</f>
        <v>321.88799243044684</v>
      </c>
      <c r="BK119" s="137">
        <f t="shared" si="43"/>
        <v>0.42054288614421109</v>
      </c>
      <c r="BL119" s="52">
        <f t="shared" si="44"/>
        <v>3917.3492839490109</v>
      </c>
      <c r="BR119" s="106"/>
      <c r="BS119" s="106"/>
      <c r="CA119" s="106"/>
    </row>
    <row r="120" spans="1:81">
      <c r="A120" s="699"/>
      <c r="B120" s="23"/>
      <c r="C120" s="17" t="s">
        <v>29</v>
      </c>
      <c r="D120" s="57"/>
      <c r="E120" s="2"/>
      <c r="F120" s="2"/>
      <c r="G120" s="63"/>
      <c r="H120" s="2"/>
      <c r="I120" s="20"/>
      <c r="J120" s="21">
        <f>E144*'[2]C&amp;I composn'!$E$19</f>
        <v>174599.44822575038</v>
      </c>
      <c r="K120" s="21"/>
      <c r="L120" s="22"/>
      <c r="M120" s="2"/>
      <c r="N120" s="23"/>
      <c r="O120" s="19"/>
      <c r="P120" s="19"/>
      <c r="Q120" s="19"/>
      <c r="R120" s="33"/>
      <c r="T120" s="57"/>
      <c r="U120" s="2"/>
      <c r="V120" s="252"/>
      <c r="W120" s="199"/>
      <c r="X120" s="273"/>
      <c r="Y120" s="2"/>
      <c r="Z120" s="2"/>
      <c r="AA120" s="274"/>
      <c r="AB120" s="21"/>
      <c r="AC120" s="21">
        <f>(U$144-Y$131)*SUMIF('[2]C&amp;I composn'!$B$71:$B$85,C120,'[2]C&amp;I composn'!$E$71:$E$85)</f>
        <v>389653.46115201799</v>
      </c>
      <c r="AD120" s="21"/>
      <c r="AE120" s="21"/>
      <c r="AF120" s="70"/>
      <c r="AG120" s="20"/>
      <c r="AH120" s="21"/>
      <c r="AI120" s="21"/>
      <c r="AJ120" s="22"/>
      <c r="AK120" s="29"/>
      <c r="AL120" s="19"/>
      <c r="AM120" s="57"/>
      <c r="AN120" s="2"/>
      <c r="AO120" s="2"/>
      <c r="AP120" s="63"/>
      <c r="AQ120" s="68"/>
      <c r="AR120" s="21"/>
      <c r="AS120" s="21"/>
      <c r="AT120" s="21"/>
      <c r="AU120" s="240"/>
      <c r="AV120" s="19"/>
      <c r="AW120" s="195"/>
      <c r="AX120" s="2"/>
      <c r="AY120" s="238"/>
      <c r="BB120" s="19"/>
      <c r="BC120" s="24"/>
      <c r="BG120" s="147" t="s">
        <v>5</v>
      </c>
      <c r="BH120" s="52">
        <f>Q121/1000</f>
        <v>912.06221602239964</v>
      </c>
      <c r="BI120" s="52">
        <f>AJ121/1000</f>
        <v>2367.8860883379803</v>
      </c>
      <c r="BJ120" s="52">
        <f>BB121/1000</f>
        <v>98.061844048618852</v>
      </c>
      <c r="BK120" s="137">
        <f t="shared" si="43"/>
        <v>0.73000015513512595</v>
      </c>
      <c r="BL120" s="52">
        <f t="shared" si="44"/>
        <v>3378.0101484089987</v>
      </c>
      <c r="BT120" s="106"/>
      <c r="BU120" s="106"/>
      <c r="BV120" s="106"/>
      <c r="BW120" s="106"/>
      <c r="BX120" s="106"/>
      <c r="BY120" s="106"/>
      <c r="BZ120" s="106"/>
    </row>
    <row r="121" spans="1:81" s="106" customFormat="1">
      <c r="A121" s="699"/>
      <c r="B121" s="107" t="s">
        <v>67</v>
      </c>
      <c r="C121" s="108"/>
      <c r="D121" s="109"/>
      <c r="E121" s="110"/>
      <c r="F121" s="110"/>
      <c r="G121" s="111"/>
      <c r="H121" s="110"/>
      <c r="I121" s="112">
        <f>D$144*'[2]Lfill en &amp; composn'!B$136</f>
        <v>309985</v>
      </c>
      <c r="J121" s="113">
        <f>SUM(J117:J120)</f>
        <v>647354.06007101852</v>
      </c>
      <c r="K121" s="113">
        <f>F144*'[2]Lfill en &amp; composn'!C$136</f>
        <v>52785</v>
      </c>
      <c r="L121" s="114">
        <f>SUM(I121:K121)</f>
        <v>1010124.0600710185</v>
      </c>
      <c r="M121" s="110"/>
      <c r="N121" s="112">
        <f>I121-AU121</f>
        <v>279891.9629870276</v>
      </c>
      <c r="O121" s="113">
        <f>J121-AV121</f>
        <v>584509.56859493058</v>
      </c>
      <c r="P121" s="113">
        <f>K121-AW121</f>
        <v>47660.684440441481</v>
      </c>
      <c r="Q121" s="114">
        <f>SUM(N121:P121)</f>
        <v>912062.2160223996</v>
      </c>
      <c r="R121" s="115">
        <f>Q121/[2]Popn!$C$41*1000</f>
        <v>129.60598255964936</v>
      </c>
      <c r="T121" s="109"/>
      <c r="U121" s="110"/>
      <c r="V121" s="110"/>
      <c r="W121" s="203"/>
      <c r="X121" s="275"/>
      <c r="Y121" s="110"/>
      <c r="Z121" s="110"/>
      <c r="AA121" s="276"/>
      <c r="AB121" s="113">
        <f>(T144-X131-AB116)*[2]NSW!$H$106</f>
        <v>802084.25261221244</v>
      </c>
      <c r="AC121" s="113">
        <f>SUM(AC117:AC120)</f>
        <v>1565801.3406349232</v>
      </c>
      <c r="AD121" s="113">
        <f>(V144-Z131)*[2]NSW!$Z$126</f>
        <v>0.49509084434505674</v>
      </c>
      <c r="AE121" s="113"/>
      <c r="AF121" s="117"/>
      <c r="AG121" s="112"/>
      <c r="AH121" s="113"/>
      <c r="AI121" s="113"/>
      <c r="AJ121" s="114">
        <f>SUM(AB121:AD121)</f>
        <v>2367886.0883379802</v>
      </c>
      <c r="AK121" s="118">
        <f>AJ121/[2]Popn!$C$41*1000</f>
        <v>336.48165407701919</v>
      </c>
      <c r="AL121" s="119"/>
      <c r="AM121" s="109"/>
      <c r="AN121" s="110"/>
      <c r="AO121" s="110"/>
      <c r="AP121" s="111"/>
      <c r="AQ121" s="117"/>
      <c r="AR121" s="113">
        <f>L121*'[2]Lfill en &amp; composn'!$D$17</f>
        <v>197984.31577391963</v>
      </c>
      <c r="AS121" s="123">
        <f>AR121/SUM($AR$101:$AR$143)</f>
        <v>0.40103829809869823</v>
      </c>
      <c r="AT121" s="113">
        <f>AS121*'[2]Lfill en &amp; composn'!$C$62/'[2]Lfill en &amp; composn'!$B$17</f>
        <v>98061.844048618848</v>
      </c>
      <c r="AU121" s="120">
        <f>$AT121*I121/SUM($I121:$K121)</f>
        <v>30093.037012972396</v>
      </c>
      <c r="AV121" s="113">
        <f>$AT121*J121/SUM($I121:$K121)</f>
        <v>62844.491476087926</v>
      </c>
      <c r="AW121" s="114">
        <f>$AT121*K121/SUM($I121:$K121)</f>
        <v>5124.3155595585204</v>
      </c>
      <c r="AX121" s="110"/>
      <c r="AY121" s="241">
        <f>AU121</f>
        <v>30093.037012972396</v>
      </c>
      <c r="AZ121" s="242">
        <f>AV121</f>
        <v>62844.491476087926</v>
      </c>
      <c r="BA121" s="242">
        <f>AW121</f>
        <v>5124.3155595585204</v>
      </c>
      <c r="BB121" s="114">
        <f>AT121+AP121</f>
        <v>98061.844048618848</v>
      </c>
      <c r="BC121" s="118">
        <f>BB121/[2]Popn!$C$41*1000</f>
        <v>13.934796800331673</v>
      </c>
      <c r="BD121" s="122"/>
      <c r="BG121" s="147" t="s">
        <v>6</v>
      </c>
      <c r="BH121" s="52">
        <f>Q131/1000</f>
        <v>676.98089511029366</v>
      </c>
      <c r="BI121" s="52">
        <f>AJ131/1000</f>
        <v>70.278999999999996</v>
      </c>
      <c r="BJ121" s="52">
        <f>BB131/1000</f>
        <v>0</v>
      </c>
      <c r="BK121" s="137">
        <f t="shared" si="43"/>
        <v>9.4048938608737989E-2</v>
      </c>
      <c r="BL121" s="52">
        <f t="shared" si="44"/>
        <v>747.25989511029366</v>
      </c>
      <c r="BM121" s="6"/>
      <c r="BN121" s="6"/>
      <c r="BO121" s="6"/>
      <c r="BR121" s="6"/>
      <c r="BS121" s="6"/>
      <c r="BT121" s="6"/>
      <c r="BU121" s="6"/>
      <c r="BV121" s="6"/>
      <c r="BW121" s="6"/>
      <c r="BX121" s="6"/>
      <c r="BY121" s="6"/>
      <c r="BZ121" s="6"/>
      <c r="CA121" s="6"/>
      <c r="CB121" s="6"/>
      <c r="CC121" s="6"/>
    </row>
    <row r="122" spans="1:81">
      <c r="A122" s="699"/>
      <c r="B122" s="23" t="s">
        <v>6</v>
      </c>
      <c r="C122" s="17" t="s">
        <v>30</v>
      </c>
      <c r="D122" s="57"/>
      <c r="E122" s="2"/>
      <c r="F122" s="2"/>
      <c r="G122" s="63"/>
      <c r="H122" s="2"/>
      <c r="I122" s="20"/>
      <c r="J122" s="21"/>
      <c r="K122" s="21"/>
      <c r="L122" s="22"/>
      <c r="M122" s="2"/>
      <c r="N122" s="23"/>
      <c r="O122" s="19"/>
      <c r="P122" s="19"/>
      <c r="Q122" s="19"/>
      <c r="R122" s="33"/>
      <c r="T122" s="57"/>
      <c r="U122" s="2"/>
      <c r="V122" s="2"/>
      <c r="W122" s="199"/>
      <c r="X122" s="273"/>
      <c r="Y122" s="2"/>
      <c r="Z122" s="2"/>
      <c r="AA122" s="274"/>
      <c r="AB122" s="21"/>
      <c r="AC122" s="21"/>
      <c r="AD122" s="21"/>
      <c r="AE122" s="21"/>
      <c r="AF122" s="70"/>
      <c r="AG122" s="20"/>
      <c r="AH122" s="21"/>
      <c r="AI122" s="21"/>
      <c r="AJ122" s="22"/>
      <c r="AK122" s="29"/>
      <c r="AL122" s="19"/>
      <c r="AM122" s="57"/>
      <c r="AN122" s="2"/>
      <c r="AO122" s="2"/>
      <c r="AP122" s="63"/>
      <c r="AQ122" s="68"/>
      <c r="AR122" s="21"/>
      <c r="AS122" s="21"/>
      <c r="AT122" s="21"/>
      <c r="AU122" s="240"/>
      <c r="AV122" s="19"/>
      <c r="AW122" s="195"/>
      <c r="AX122" s="2"/>
      <c r="AY122" s="238"/>
      <c r="BB122" s="19"/>
      <c r="BC122" s="24"/>
      <c r="BG122" s="147" t="s">
        <v>8</v>
      </c>
      <c r="BH122" s="52">
        <f>Q132/1000</f>
        <v>149.66303633115686</v>
      </c>
      <c r="BI122" s="52">
        <f>AJ132/1000</f>
        <v>455.84604902916658</v>
      </c>
      <c r="BJ122" s="52">
        <f>BB132/1000</f>
        <v>0</v>
      </c>
      <c r="BK122" s="137">
        <f t="shared" si="43"/>
        <v>0.75283106405893796</v>
      </c>
      <c r="BL122" s="52">
        <f t="shared" si="44"/>
        <v>605.50908536032341</v>
      </c>
    </row>
    <row r="123" spans="1:81">
      <c r="A123" s="699"/>
      <c r="B123" s="23"/>
      <c r="C123" s="17" t="s">
        <v>31</v>
      </c>
      <c r="D123" s="57"/>
      <c r="E123" s="2"/>
      <c r="F123" s="2"/>
      <c r="G123" s="63"/>
      <c r="H123" s="2"/>
      <c r="I123" s="20"/>
      <c r="J123" s="21"/>
      <c r="K123" s="21"/>
      <c r="L123" s="22"/>
      <c r="M123" s="2"/>
      <c r="N123" s="23"/>
      <c r="O123" s="19"/>
      <c r="P123" s="19"/>
      <c r="Q123" s="19"/>
      <c r="R123" s="33"/>
      <c r="T123" s="57"/>
      <c r="U123" s="2"/>
      <c r="V123" s="2"/>
      <c r="W123" s="199"/>
      <c r="X123" s="273"/>
      <c r="Y123" s="2"/>
      <c r="Z123" s="2"/>
      <c r="AA123" s="274"/>
      <c r="AB123" s="21"/>
      <c r="AC123" s="21"/>
      <c r="AD123" s="21"/>
      <c r="AE123" s="21"/>
      <c r="AF123" s="70"/>
      <c r="AG123" s="20"/>
      <c r="AH123" s="21"/>
      <c r="AI123" s="21"/>
      <c r="AJ123" s="22"/>
      <c r="AK123" s="29"/>
      <c r="AL123" s="19"/>
      <c r="AM123" s="57"/>
      <c r="AN123" s="2"/>
      <c r="AO123" s="2"/>
      <c r="AP123" s="63"/>
      <c r="AQ123" s="68"/>
      <c r="AR123" s="21"/>
      <c r="AS123" s="21"/>
      <c r="AT123" s="21"/>
      <c r="AU123" s="240"/>
      <c r="AV123" s="19"/>
      <c r="AW123" s="195"/>
      <c r="AX123" s="2"/>
      <c r="AY123" s="238"/>
      <c r="BB123" s="19"/>
      <c r="BC123" s="24"/>
      <c r="BG123" s="147" t="s">
        <v>7</v>
      </c>
      <c r="BH123" s="52">
        <f>Q135/1000</f>
        <v>121.41114021730851</v>
      </c>
      <c r="BI123" s="52">
        <f>AJ135/1000</f>
        <v>22.459284950943879</v>
      </c>
      <c r="BJ123" s="52">
        <f>BB135/1000</f>
        <v>3.0730713263704628</v>
      </c>
      <c r="BK123" s="137">
        <f t="shared" si="43"/>
        <v>0.17375628650736955</v>
      </c>
      <c r="BL123" s="52">
        <f t="shared" si="44"/>
        <v>146.94349649462285</v>
      </c>
      <c r="BR123" s="90"/>
      <c r="BS123" s="90"/>
      <c r="CA123" s="90"/>
    </row>
    <row r="124" spans="1:81">
      <c r="A124" s="699"/>
      <c r="B124" s="23"/>
      <c r="C124" s="17" t="s">
        <v>32</v>
      </c>
      <c r="D124" s="57"/>
      <c r="E124" s="2"/>
      <c r="F124" s="2"/>
      <c r="G124" s="63"/>
      <c r="H124" s="2"/>
      <c r="I124" s="20"/>
      <c r="J124" s="21"/>
      <c r="K124" s="21"/>
      <c r="L124" s="22"/>
      <c r="M124" s="2"/>
      <c r="N124" s="23"/>
      <c r="O124" s="19"/>
      <c r="P124" s="19"/>
      <c r="Q124" s="19"/>
      <c r="R124" s="33"/>
      <c r="T124" s="57"/>
      <c r="U124" s="2"/>
      <c r="V124" s="2"/>
      <c r="W124" s="199"/>
      <c r="X124" s="273"/>
      <c r="Y124" s="2"/>
      <c r="Z124" s="2"/>
      <c r="AA124" s="274"/>
      <c r="AB124" s="21"/>
      <c r="AC124" s="21"/>
      <c r="AD124" s="21"/>
      <c r="AE124" s="21"/>
      <c r="AF124" s="70"/>
      <c r="AG124" s="20"/>
      <c r="AH124" s="21"/>
      <c r="AI124" s="21"/>
      <c r="AJ124" s="22"/>
      <c r="AK124" s="29"/>
      <c r="AL124" s="19"/>
      <c r="AM124" s="57"/>
      <c r="AN124" s="2"/>
      <c r="AO124" s="2"/>
      <c r="AP124" s="63"/>
      <c r="AQ124" s="68"/>
      <c r="AR124" s="21"/>
      <c r="AS124" s="21"/>
      <c r="AT124" s="21"/>
      <c r="AU124" s="240"/>
      <c r="AV124" s="19"/>
      <c r="AW124" s="195"/>
      <c r="AX124" s="2"/>
      <c r="AY124" s="238"/>
      <c r="BB124" s="19"/>
      <c r="BC124" s="24"/>
      <c r="BG124" s="147" t="s">
        <v>11</v>
      </c>
      <c r="BH124" s="52">
        <f>Q140/1000</f>
        <v>749.46552273401733</v>
      </c>
      <c r="BI124" s="52">
        <f>AJ140/1000</f>
        <v>0</v>
      </c>
      <c r="BJ124" s="52">
        <f>BB140/1000</f>
        <v>0</v>
      </c>
      <c r="BK124" s="137">
        <f t="shared" si="43"/>
        <v>0</v>
      </c>
      <c r="BL124" s="52">
        <f t="shared" si="44"/>
        <v>749.46552273401733</v>
      </c>
      <c r="BT124" s="90"/>
      <c r="BU124" s="90"/>
      <c r="BV124" s="90"/>
      <c r="BW124" s="90"/>
      <c r="BX124" s="90"/>
      <c r="BY124" s="90"/>
      <c r="BZ124" s="90"/>
    </row>
    <row r="125" spans="1:81" s="90" customFormat="1">
      <c r="A125" s="699"/>
      <c r="B125" s="91" t="s">
        <v>42</v>
      </c>
      <c r="C125" s="92"/>
      <c r="D125" s="93"/>
      <c r="E125" s="94"/>
      <c r="F125" s="94"/>
      <c r="G125" s="95"/>
      <c r="H125" s="94"/>
      <c r="I125" s="96"/>
      <c r="J125" s="97"/>
      <c r="K125" s="97"/>
      <c r="L125" s="98"/>
      <c r="M125" s="94"/>
      <c r="N125" s="96"/>
      <c r="O125" s="97"/>
      <c r="P125" s="97"/>
      <c r="Q125" s="97"/>
      <c r="R125" s="99"/>
      <c r="T125" s="93"/>
      <c r="U125" s="94"/>
      <c r="V125" s="94"/>
      <c r="W125" s="211"/>
      <c r="X125" s="279"/>
      <c r="Y125" s="94"/>
      <c r="Z125" s="94"/>
      <c r="AA125" s="280"/>
      <c r="AB125" s="97"/>
      <c r="AC125" s="97"/>
      <c r="AD125" s="21"/>
      <c r="AE125" s="97"/>
      <c r="AF125" s="101"/>
      <c r="AG125" s="96"/>
      <c r="AH125" s="97"/>
      <c r="AI125" s="97"/>
      <c r="AJ125" s="98"/>
      <c r="AK125" s="102"/>
      <c r="AL125" s="103"/>
      <c r="AM125" s="93"/>
      <c r="AN125" s="94"/>
      <c r="AO125" s="94"/>
      <c r="AP125" s="95"/>
      <c r="AQ125" s="100"/>
      <c r="AR125" s="97"/>
      <c r="AS125" s="128"/>
      <c r="AT125" s="128"/>
      <c r="AU125" s="104"/>
      <c r="AV125" s="97"/>
      <c r="AW125" s="98"/>
      <c r="AX125" s="94"/>
      <c r="AY125" s="239"/>
      <c r="BB125" s="97"/>
      <c r="BC125" s="105"/>
      <c r="BG125" s="147" t="s">
        <v>1</v>
      </c>
      <c r="BH125" s="52">
        <f>Q141/1000</f>
        <v>2754.4453816466544</v>
      </c>
      <c r="BI125" s="52">
        <f>AJ141/1000</f>
        <v>2065.6972641509433</v>
      </c>
      <c r="BJ125" s="52">
        <f>BB141/1000</f>
        <v>0</v>
      </c>
      <c r="BK125" s="137">
        <f t="shared" si="43"/>
        <v>0.42855521422211534</v>
      </c>
      <c r="BL125" s="52">
        <f t="shared" si="44"/>
        <v>4820.1426457975977</v>
      </c>
      <c r="BM125" s="6"/>
      <c r="BN125" s="6"/>
      <c r="BO125" s="6"/>
      <c r="BR125" s="6"/>
      <c r="BS125" s="6"/>
      <c r="BT125" s="6"/>
      <c r="BU125" s="6"/>
      <c r="BV125" s="6"/>
      <c r="BW125" s="6"/>
      <c r="BX125" s="6"/>
      <c r="BY125" s="6"/>
      <c r="BZ125" s="6"/>
      <c r="CA125" s="6"/>
      <c r="CB125" s="6"/>
      <c r="CC125" s="6"/>
    </row>
    <row r="126" spans="1:81">
      <c r="A126" s="699"/>
      <c r="B126" s="23"/>
      <c r="C126" s="17" t="s">
        <v>33</v>
      </c>
      <c r="D126" s="57"/>
      <c r="E126" s="2"/>
      <c r="F126" s="2"/>
      <c r="G126" s="63"/>
      <c r="H126" s="2"/>
      <c r="I126" s="20"/>
      <c r="J126" s="21"/>
      <c r="K126" s="21"/>
      <c r="L126" s="22"/>
      <c r="M126" s="2"/>
      <c r="N126" s="23"/>
      <c r="O126" s="19"/>
      <c r="P126" s="19"/>
      <c r="Q126" s="19"/>
      <c r="R126" s="33"/>
      <c r="T126" s="57"/>
      <c r="U126" s="2"/>
      <c r="V126" s="2"/>
      <c r="W126" s="199"/>
      <c r="X126" s="273"/>
      <c r="Y126" s="2"/>
      <c r="Z126" s="2"/>
      <c r="AA126" s="274"/>
      <c r="AB126" s="21"/>
      <c r="AC126" s="21"/>
      <c r="AD126" s="21"/>
      <c r="AE126" s="21"/>
      <c r="AF126" s="70"/>
      <c r="AG126" s="20"/>
      <c r="AH126" s="21"/>
      <c r="AI126" s="21"/>
      <c r="AJ126" s="22"/>
      <c r="AK126" s="29"/>
      <c r="AL126" s="19"/>
      <c r="AM126" s="57"/>
      <c r="AN126" s="2"/>
      <c r="AO126" s="2"/>
      <c r="AP126" s="63"/>
      <c r="AQ126" s="68"/>
      <c r="AR126" s="21"/>
      <c r="AS126" s="21"/>
      <c r="AT126" s="21"/>
      <c r="AU126" s="240"/>
      <c r="AV126" s="19"/>
      <c r="AW126" s="195"/>
      <c r="AX126" s="2"/>
      <c r="AY126" s="238"/>
      <c r="BB126" s="19"/>
      <c r="BC126" s="24"/>
      <c r="BG126" s="142"/>
    </row>
    <row r="127" spans="1:81">
      <c r="A127" s="699"/>
      <c r="B127" s="23"/>
      <c r="C127" s="17" t="s">
        <v>34</v>
      </c>
      <c r="D127" s="57"/>
      <c r="E127" s="2"/>
      <c r="F127" s="2"/>
      <c r="G127" s="63"/>
      <c r="H127" s="2"/>
      <c r="I127" s="20"/>
      <c r="J127" s="21"/>
      <c r="K127" s="21"/>
      <c r="L127" s="22"/>
      <c r="M127" s="2"/>
      <c r="N127" s="23"/>
      <c r="O127" s="19"/>
      <c r="P127" s="19"/>
      <c r="Q127" s="19"/>
      <c r="R127" s="33"/>
      <c r="T127" s="57"/>
      <c r="U127" s="2"/>
      <c r="V127" s="2"/>
      <c r="W127" s="199"/>
      <c r="X127" s="273"/>
      <c r="Y127" s="2"/>
      <c r="Z127" s="2"/>
      <c r="AA127" s="274"/>
      <c r="AB127" s="21"/>
      <c r="AC127" s="21"/>
      <c r="AD127" s="21"/>
      <c r="AE127" s="21"/>
      <c r="AF127" s="70"/>
      <c r="AG127" s="20"/>
      <c r="AH127" s="21"/>
      <c r="AI127" s="21"/>
      <c r="AJ127" s="22"/>
      <c r="AK127" s="29"/>
      <c r="AL127" s="19"/>
      <c r="AM127" s="57"/>
      <c r="AN127" s="2"/>
      <c r="AO127" s="2"/>
      <c r="AP127" s="63"/>
      <c r="AQ127" s="68"/>
      <c r="AR127" s="21"/>
      <c r="AS127" s="21"/>
      <c r="AT127" s="21"/>
      <c r="AU127" s="240"/>
      <c r="AV127" s="19"/>
      <c r="AW127" s="195"/>
      <c r="AX127" s="2"/>
      <c r="AY127" s="238"/>
      <c r="BB127" s="19"/>
      <c r="BC127" s="24"/>
    </row>
    <row r="128" spans="1:81">
      <c r="A128" s="699"/>
      <c r="B128" s="23"/>
      <c r="C128" s="17" t="s">
        <v>35</v>
      </c>
      <c r="D128" s="57"/>
      <c r="E128" s="2"/>
      <c r="F128" s="2"/>
      <c r="G128" s="63"/>
      <c r="H128" s="2"/>
      <c r="I128" s="20"/>
      <c r="J128" s="21"/>
      <c r="K128" s="21"/>
      <c r="L128" s="22"/>
      <c r="M128" s="2"/>
      <c r="N128" s="23"/>
      <c r="O128" s="19"/>
      <c r="P128" s="19"/>
      <c r="Q128" s="19"/>
      <c r="R128" s="33"/>
      <c r="T128" s="57"/>
      <c r="U128" s="2"/>
      <c r="V128" s="2"/>
      <c r="W128" s="199"/>
      <c r="X128" s="273"/>
      <c r="Y128" s="2"/>
      <c r="Z128" s="2"/>
      <c r="AA128" s="274"/>
      <c r="AB128" s="21"/>
      <c r="AC128" s="21"/>
      <c r="AD128" s="21"/>
      <c r="AE128" s="21"/>
      <c r="AF128" s="70"/>
      <c r="AG128" s="20"/>
      <c r="AH128" s="21"/>
      <c r="AI128" s="21"/>
      <c r="AJ128" s="22"/>
      <c r="AK128" s="29"/>
      <c r="AL128" s="19"/>
      <c r="AM128" s="57"/>
      <c r="AN128" s="2"/>
      <c r="AO128" s="2"/>
      <c r="AP128" s="63"/>
      <c r="AQ128" s="68"/>
      <c r="AR128" s="21"/>
      <c r="AS128" s="21"/>
      <c r="AT128" s="21"/>
      <c r="AU128" s="240"/>
      <c r="AV128" s="19"/>
      <c r="AW128" s="195"/>
      <c r="AX128" s="2"/>
      <c r="AY128" s="238"/>
      <c r="BB128" s="19"/>
      <c r="BC128" s="24"/>
      <c r="BR128" s="90"/>
      <c r="BS128" s="90"/>
      <c r="CA128" s="90"/>
    </row>
    <row r="129" spans="1:81">
      <c r="A129" s="699"/>
      <c r="B129" s="23"/>
      <c r="C129" s="17" t="s">
        <v>36</v>
      </c>
      <c r="D129" s="57"/>
      <c r="E129" s="2"/>
      <c r="F129" s="2"/>
      <c r="G129" s="63"/>
      <c r="H129" s="2"/>
      <c r="I129" s="20"/>
      <c r="J129" s="21"/>
      <c r="K129" s="21"/>
      <c r="L129" s="22"/>
      <c r="M129" s="2"/>
      <c r="N129" s="23"/>
      <c r="O129" s="19"/>
      <c r="P129" s="19"/>
      <c r="Q129" s="19"/>
      <c r="R129" s="33"/>
      <c r="T129" s="57"/>
      <c r="U129" s="2"/>
      <c r="V129" s="2"/>
      <c r="W129" s="199"/>
      <c r="X129" s="273"/>
      <c r="Y129" s="2"/>
      <c r="Z129" s="2"/>
      <c r="AA129" s="274"/>
      <c r="AB129" s="21"/>
      <c r="AC129" s="21"/>
      <c r="AD129" s="21"/>
      <c r="AE129" s="21"/>
      <c r="AF129" s="70"/>
      <c r="AG129" s="20"/>
      <c r="AH129" s="21"/>
      <c r="AI129" s="21"/>
      <c r="AJ129" s="22"/>
      <c r="AK129" s="29"/>
      <c r="AL129" s="19"/>
      <c r="AM129" s="57"/>
      <c r="AN129" s="2"/>
      <c r="AO129" s="2"/>
      <c r="AP129" s="63"/>
      <c r="AQ129" s="68"/>
      <c r="AR129" s="21"/>
      <c r="AS129" s="21"/>
      <c r="AT129" s="21"/>
      <c r="AU129" s="240"/>
      <c r="AV129" s="19"/>
      <c r="AW129" s="195"/>
      <c r="AX129" s="2"/>
      <c r="AY129" s="238"/>
      <c r="BB129" s="19"/>
      <c r="BC129" s="24"/>
      <c r="BR129" s="106"/>
      <c r="BS129" s="106"/>
      <c r="BT129" s="90"/>
      <c r="BU129" s="90"/>
      <c r="BV129" s="90"/>
      <c r="BW129" s="90"/>
      <c r="BX129" s="90"/>
      <c r="BY129" s="90"/>
      <c r="BZ129" s="90"/>
      <c r="CA129" s="106"/>
    </row>
    <row r="130" spans="1:81" s="90" customFormat="1">
      <c r="A130" s="699"/>
      <c r="B130" s="91" t="s">
        <v>43</v>
      </c>
      <c r="C130" s="92"/>
      <c r="D130" s="93"/>
      <c r="E130" s="94"/>
      <c r="F130" s="94"/>
      <c r="G130" s="95"/>
      <c r="H130" s="94"/>
      <c r="I130" s="96"/>
      <c r="J130" s="97"/>
      <c r="K130" s="97"/>
      <c r="L130" s="98"/>
      <c r="M130" s="94"/>
      <c r="N130" s="96"/>
      <c r="O130" s="97"/>
      <c r="P130" s="97"/>
      <c r="Q130" s="97"/>
      <c r="R130" s="99"/>
      <c r="T130" s="93"/>
      <c r="U130" s="94"/>
      <c r="V130" s="94"/>
      <c r="W130" s="211"/>
      <c r="X130" s="279"/>
      <c r="Y130" s="94"/>
      <c r="Z130" s="94"/>
      <c r="AA130" s="280"/>
      <c r="AB130" s="97"/>
      <c r="AC130" s="97"/>
      <c r="AD130" s="21"/>
      <c r="AE130" s="97"/>
      <c r="AF130" s="101"/>
      <c r="AG130" s="96"/>
      <c r="AH130" s="97"/>
      <c r="AI130" s="97"/>
      <c r="AJ130" s="98"/>
      <c r="AK130" s="102"/>
      <c r="AL130" s="103"/>
      <c r="AM130" s="93"/>
      <c r="AN130" s="94"/>
      <c r="AO130" s="94"/>
      <c r="AP130" s="95"/>
      <c r="AQ130" s="100"/>
      <c r="AR130" s="97"/>
      <c r="AS130" s="97"/>
      <c r="AT130" s="97"/>
      <c r="AU130" s="104"/>
      <c r="AV130" s="97"/>
      <c r="AW130" s="98"/>
      <c r="AX130" s="94"/>
      <c r="AY130" s="239"/>
      <c r="BB130" s="97"/>
      <c r="BC130" s="105"/>
      <c r="BG130" s="143"/>
      <c r="BR130" s="106"/>
      <c r="BS130" s="106"/>
      <c r="BT130" s="106"/>
      <c r="BU130" s="106"/>
      <c r="BV130" s="106"/>
      <c r="BW130" s="106"/>
      <c r="BX130" s="106"/>
      <c r="BY130" s="106"/>
      <c r="BZ130" s="106"/>
      <c r="CA130" s="106"/>
      <c r="CB130" s="6"/>
      <c r="CC130" s="6"/>
    </row>
    <row r="131" spans="1:81" s="106" customFormat="1">
      <c r="A131" s="699"/>
      <c r="B131" s="107" t="s">
        <v>67</v>
      </c>
      <c r="C131" s="108"/>
      <c r="D131" s="109"/>
      <c r="E131" s="110"/>
      <c r="F131" s="110"/>
      <c r="G131" s="111"/>
      <c r="H131" s="110"/>
      <c r="I131" s="112">
        <f>D$144*'[2]Lfill en &amp; composn'!B$137</f>
        <v>308424.96071370674</v>
      </c>
      <c r="J131" s="113">
        <f>E144*SUM('[2]C&amp;I composn'!$E$21:$E$22)</f>
        <v>316359.92093271605</v>
      </c>
      <c r="K131" s="113">
        <f>F144*'[2]Lfill en &amp; composn'!C$137</f>
        <v>52196.01346387084</v>
      </c>
      <c r="L131" s="114">
        <f>SUM(I131:K131)</f>
        <v>676980.89511029364</v>
      </c>
      <c r="M131" s="110"/>
      <c r="N131" s="112">
        <f t="shared" ref="N131:P132" si="45">I131-AU131</f>
        <v>308424.96071370674</v>
      </c>
      <c r="O131" s="113">
        <f t="shared" si="45"/>
        <v>316359.92093271605</v>
      </c>
      <c r="P131" s="113">
        <f t="shared" si="45"/>
        <v>52196.01346387084</v>
      </c>
      <c r="Q131" s="114">
        <f>SUM(N131:P131)</f>
        <v>676980.89511029364</v>
      </c>
      <c r="R131" s="115">
        <f>Q131/[2]Popn!$C$41*1000</f>
        <v>96.200426400215747</v>
      </c>
      <c r="T131" s="202"/>
      <c r="U131" s="130"/>
      <c r="V131" s="130"/>
      <c r="W131" s="203"/>
      <c r="X131" s="130">
        <f>[2]PACIA!$H$23*[2]PACIA!I29</f>
        <v>40832.098999999995</v>
      </c>
      <c r="Y131" s="130">
        <f>[2]PACIA!$H$23*[2]PACIA!J29</f>
        <v>29306.342999999997</v>
      </c>
      <c r="Z131" s="130">
        <f>[2]PACIA!$H$23*[2]PACIA!K29</f>
        <v>140.55799999999999</v>
      </c>
      <c r="AA131" s="276"/>
      <c r="AB131" s="242">
        <f>X131</f>
        <v>40832.098999999995</v>
      </c>
      <c r="AC131" s="242">
        <f>Y131</f>
        <v>29306.342999999997</v>
      </c>
      <c r="AD131" s="242">
        <f>Z131</f>
        <v>140.55799999999999</v>
      </c>
      <c r="AE131" s="113"/>
      <c r="AF131" s="117"/>
      <c r="AG131" s="112"/>
      <c r="AH131" s="113"/>
      <c r="AI131" s="113"/>
      <c r="AJ131" s="114">
        <f>SUM(AB131:AD131)</f>
        <v>70279</v>
      </c>
      <c r="AK131" s="118">
        <f>AJ131/[2]Popn!$C$41*1000</f>
        <v>9.9867955149299785</v>
      </c>
      <c r="AL131" s="119"/>
      <c r="AM131" s="109"/>
      <c r="AN131" s="110"/>
      <c r="AO131" s="110"/>
      <c r="AP131" s="111"/>
      <c r="AQ131" s="116"/>
      <c r="AR131" s="113"/>
      <c r="AS131" s="113"/>
      <c r="AT131" s="113"/>
      <c r="AU131" s="120"/>
      <c r="AV131" s="113"/>
      <c r="AW131" s="114"/>
      <c r="AX131" s="110"/>
      <c r="AY131" s="237"/>
      <c r="BB131" s="113"/>
      <c r="BC131" s="118">
        <f>BB131/[2]Popn!$C$41*1000</f>
        <v>0</v>
      </c>
      <c r="BG131" s="144"/>
      <c r="BR131" s="6"/>
      <c r="BS131" s="6"/>
      <c r="CA131" s="6"/>
      <c r="CB131" s="6"/>
      <c r="CC131" s="6"/>
    </row>
    <row r="132" spans="1:81" s="106" customFormat="1">
      <c r="A132" s="699"/>
      <c r="B132" s="37" t="s">
        <v>8</v>
      </c>
      <c r="C132" s="129" t="s">
        <v>8</v>
      </c>
      <c r="D132" s="109"/>
      <c r="E132" s="110"/>
      <c r="F132" s="110"/>
      <c r="G132" s="111"/>
      <c r="H132" s="110"/>
      <c r="I132" s="112">
        <f>D$144*'[2]Lfill en &amp; composn'!B$138</f>
        <v>115234.71303169271</v>
      </c>
      <c r="J132" s="113">
        <f>E144*SUM('[2]C&amp;I composn'!$E$23:$E$24)</f>
        <v>23244.047341367917</v>
      </c>
      <c r="K132" s="113">
        <f>F144*'[2]Lfill en &amp; composn'!C$138</f>
        <v>11184.275958096241</v>
      </c>
      <c r="L132" s="114">
        <f>SUM(I132:K132)</f>
        <v>149663.03633115685</v>
      </c>
      <c r="M132" s="110"/>
      <c r="N132" s="112">
        <f t="shared" si="45"/>
        <v>115234.71303169271</v>
      </c>
      <c r="O132" s="113">
        <f t="shared" si="45"/>
        <v>23244.047341367917</v>
      </c>
      <c r="P132" s="113">
        <f t="shared" si="45"/>
        <v>11184.275958096241</v>
      </c>
      <c r="Q132" s="114">
        <f>SUM(N132:P132)</f>
        <v>149663.03633115685</v>
      </c>
      <c r="R132" s="115">
        <f>Q132/[2]Popn!$C$41*1000</f>
        <v>21.267436075965787</v>
      </c>
      <c r="T132" s="109"/>
      <c r="U132" s="110"/>
      <c r="V132" s="253"/>
      <c r="W132" s="199"/>
      <c r="X132" s="275"/>
      <c r="Y132" s="110"/>
      <c r="Z132" s="110"/>
      <c r="AA132" s="276"/>
      <c r="AB132" s="113">
        <f>(T144-X131-AB116)*[2]NSW!$H$108</f>
        <v>355882.76082289772</v>
      </c>
      <c r="AC132" s="242">
        <f>(U$144-Y$131)*SUMIF('[2]C&amp;I composn'!$B$71:$B$85,C132,'[2]C&amp;I composn'!$E$71:$E$85)</f>
        <v>92139.882099255483</v>
      </c>
      <c r="AD132" s="113">
        <f>(V144-Z131)*[2]NSW!$Z$128</f>
        <v>7823.4061070133575</v>
      </c>
      <c r="AE132" s="113"/>
      <c r="AF132" s="117"/>
      <c r="AG132" s="112"/>
      <c r="AH132" s="113"/>
      <c r="AI132" s="113"/>
      <c r="AJ132" s="114">
        <f>SUM(AB132:AD132)</f>
        <v>455846.04902916658</v>
      </c>
      <c r="AK132" s="118">
        <f>AJ132/[2]Popn!$C$41*1000</f>
        <v>64.776694004511043</v>
      </c>
      <c r="AL132" s="119"/>
      <c r="AM132" s="109"/>
      <c r="AN132" s="110"/>
      <c r="AO132" s="110"/>
      <c r="AP132" s="111"/>
      <c r="AQ132" s="116"/>
      <c r="AR132" s="113"/>
      <c r="AS132" s="113"/>
      <c r="AT132" s="113"/>
      <c r="AU132" s="120"/>
      <c r="AV132" s="113"/>
      <c r="AW132" s="114"/>
      <c r="AX132" s="110"/>
      <c r="AY132" s="237"/>
      <c r="BB132" s="113"/>
      <c r="BC132" s="121"/>
      <c r="BG132" s="144"/>
      <c r="BR132" s="6"/>
      <c r="BS132" s="6"/>
      <c r="BT132" s="6"/>
      <c r="BU132" s="6"/>
      <c r="BV132" s="6"/>
      <c r="BW132" s="6"/>
      <c r="BX132" s="6"/>
      <c r="BY132" s="6"/>
      <c r="BZ132" s="6"/>
      <c r="CA132" s="6"/>
      <c r="CB132" s="6"/>
      <c r="CC132" s="6"/>
    </row>
    <row r="133" spans="1:81">
      <c r="A133" s="699"/>
      <c r="B133" s="23" t="s">
        <v>7</v>
      </c>
      <c r="C133" s="17" t="s">
        <v>9</v>
      </c>
      <c r="D133" s="57"/>
      <c r="E133" s="2"/>
      <c r="F133" s="2"/>
      <c r="G133" s="63"/>
      <c r="H133" s="2"/>
      <c r="I133" s="20"/>
      <c r="J133" s="21">
        <f>E144*'[2]C&amp;I composn'!$E$25</f>
        <v>47366.193732886219</v>
      </c>
      <c r="K133" s="21"/>
      <c r="L133" s="22"/>
      <c r="M133" s="2"/>
      <c r="N133" s="20"/>
      <c r="O133" s="21"/>
      <c r="P133" s="21"/>
      <c r="Q133" s="22"/>
      <c r="R133" s="34"/>
      <c r="T133" s="57"/>
      <c r="U133" s="2"/>
      <c r="V133" s="252"/>
      <c r="W133" s="199"/>
      <c r="X133" s="273"/>
      <c r="Y133" s="2"/>
      <c r="Z133" s="2"/>
      <c r="AA133" s="274"/>
      <c r="AB133" s="21"/>
      <c r="AC133" s="21">
        <f>(U$144-Y$131)*SUMIF('[2]C&amp;I composn'!$B$71:$B$85,C133,'[2]C&amp;I composn'!$E$71:$E$85)</f>
        <v>15130.550300439252</v>
      </c>
      <c r="AD133" s="21"/>
      <c r="AE133" s="21"/>
      <c r="AF133" s="70"/>
      <c r="AG133" s="20"/>
      <c r="AH133" s="21"/>
      <c r="AI133" s="21"/>
      <c r="AJ133" s="22"/>
      <c r="AK133" s="29"/>
      <c r="AL133" s="19"/>
      <c r="AM133" s="57"/>
      <c r="AN133" s="2"/>
      <c r="AO133" s="2"/>
      <c r="AP133" s="63"/>
      <c r="AQ133" s="68"/>
      <c r="AR133" s="21"/>
      <c r="AS133" s="35"/>
      <c r="AT133" s="21"/>
      <c r="AU133" s="25"/>
      <c r="AV133" s="21"/>
      <c r="AW133" s="22"/>
      <c r="AX133" s="2"/>
      <c r="AY133" s="238"/>
      <c r="BB133" s="21"/>
      <c r="BC133" s="29"/>
      <c r="BR133" s="106"/>
      <c r="BS133" s="106"/>
      <c r="CA133" s="106"/>
    </row>
    <row r="134" spans="1:81">
      <c r="A134" s="699"/>
      <c r="B134" s="23"/>
      <c r="C134" s="17" t="s">
        <v>10</v>
      </c>
      <c r="D134" s="57"/>
      <c r="E134" s="2"/>
      <c r="F134" s="2"/>
      <c r="G134" s="63"/>
      <c r="H134" s="2"/>
      <c r="I134" s="20"/>
      <c r="J134" s="21">
        <f>E144*'[2]C&amp;I composn'!$E$26</f>
        <v>17505.517810792757</v>
      </c>
      <c r="K134" s="21"/>
      <c r="L134" s="22"/>
      <c r="M134" s="2"/>
      <c r="N134" s="20"/>
      <c r="O134" s="21"/>
      <c r="P134" s="21"/>
      <c r="Q134" s="22"/>
      <c r="R134" s="33"/>
      <c r="T134" s="57"/>
      <c r="U134" s="2"/>
      <c r="V134" s="252"/>
      <c r="W134" s="199"/>
      <c r="X134" s="273"/>
      <c r="Y134" s="2"/>
      <c r="Z134" s="2"/>
      <c r="AA134" s="274"/>
      <c r="AB134" s="21"/>
      <c r="AC134" s="21">
        <f>(U$144-Y$131)*SUMIF('[2]C&amp;I composn'!$B$71:$B$85,C134,'[2]C&amp;I composn'!$E$71:$E$85)</f>
        <v>7328.7346505046262</v>
      </c>
      <c r="AD134" s="21"/>
      <c r="AE134" s="21"/>
      <c r="AF134" s="70"/>
      <c r="AG134" s="20"/>
      <c r="AH134" s="21"/>
      <c r="AI134" s="21"/>
      <c r="AJ134" s="22"/>
      <c r="AK134" s="29"/>
      <c r="AL134" s="19"/>
      <c r="AM134" s="57"/>
      <c r="AN134" s="2"/>
      <c r="AO134" s="2"/>
      <c r="AP134" s="63"/>
      <c r="AQ134" s="68"/>
      <c r="AR134" s="21"/>
      <c r="AS134" s="35"/>
      <c r="AT134" s="21"/>
      <c r="AU134" s="240"/>
      <c r="AV134" s="21"/>
      <c r="AW134" s="195"/>
      <c r="AX134" s="2"/>
      <c r="AY134" s="238"/>
      <c r="BB134" s="21"/>
      <c r="BC134" s="29"/>
      <c r="BT134" s="106"/>
      <c r="BU134" s="106"/>
      <c r="BV134" s="106"/>
      <c r="BW134" s="106"/>
      <c r="BX134" s="106"/>
      <c r="BY134" s="106"/>
      <c r="BZ134" s="106"/>
    </row>
    <row r="135" spans="1:81" s="106" customFormat="1">
      <c r="A135" s="699"/>
      <c r="B135" s="107" t="s">
        <v>67</v>
      </c>
      <c r="C135" s="108"/>
      <c r="D135" s="109"/>
      <c r="E135" s="110"/>
      <c r="F135" s="110"/>
      <c r="G135" s="111"/>
      <c r="H135" s="110"/>
      <c r="I135" s="112">
        <f>D$144*'[2]Lfill en &amp; composn'!B$139</f>
        <v>59612.5</v>
      </c>
      <c r="J135" s="113">
        <f>SUM(J133:J134)</f>
        <v>64871.711543678975</v>
      </c>
      <c r="K135" s="113">
        <f>F144*'[2]Lfill en &amp; composn'!C$139</f>
        <v>0</v>
      </c>
      <c r="L135" s="114">
        <f>SUM(I135:K135)</f>
        <v>124484.21154367898</v>
      </c>
      <c r="M135" s="110"/>
      <c r="N135" s="112">
        <f>I135-AU135</f>
        <v>58140.87992728917</v>
      </c>
      <c r="O135" s="113">
        <f>J135-AV135</f>
        <v>63270.260290019345</v>
      </c>
      <c r="P135" s="113">
        <f>K135-AW135</f>
        <v>0</v>
      </c>
      <c r="Q135" s="114">
        <f>SUM(N135:P135)</f>
        <v>121411.14021730851</v>
      </c>
      <c r="R135" s="115">
        <f>Q135/[2]Popn!$C$41*1000</f>
        <v>17.252781493543608</v>
      </c>
      <c r="T135" s="109"/>
      <c r="U135" s="110"/>
      <c r="V135" s="110"/>
      <c r="W135" s="203"/>
      <c r="X135" s="275"/>
      <c r="Y135" s="110"/>
      <c r="Z135" s="110"/>
      <c r="AA135" s="276"/>
      <c r="AB135" s="113"/>
      <c r="AC135" s="113">
        <f>SUM(AC133:AC134)</f>
        <v>22459.284950943878</v>
      </c>
      <c r="AD135" s="113"/>
      <c r="AE135" s="113"/>
      <c r="AF135" s="117"/>
      <c r="AG135" s="112"/>
      <c r="AH135" s="113"/>
      <c r="AI135" s="113"/>
      <c r="AJ135" s="114">
        <f>SUM(AB135:AD135)</f>
        <v>22459.284950943878</v>
      </c>
      <c r="AK135" s="118">
        <f>AJ135/[2]Popn!$C$41*1000</f>
        <v>3.1915122044511257</v>
      </c>
      <c r="AL135" s="119"/>
      <c r="AM135" s="109"/>
      <c r="AN135" s="110"/>
      <c r="AO135" s="110"/>
      <c r="AP135" s="111"/>
      <c r="AQ135" s="116"/>
      <c r="AR135" s="113">
        <f>L135*'[2]Lfill en &amp; composn'!$C$94</f>
        <v>4886.0053030893987</v>
      </c>
      <c r="AS135" s="35">
        <f>AR135/SUM($AR$101:$AR$143)</f>
        <v>9.8971236362466811E-3</v>
      </c>
      <c r="AT135" s="21">
        <f>AS135*'[2]Lfill en &amp; composn'!$C$62/'[2]Lfill en &amp; composn'!$B$25</f>
        <v>3073.0713263704629</v>
      </c>
      <c r="AU135" s="120">
        <f>$AT135*I135/SUM($I135:$K135)</f>
        <v>1471.6200727108301</v>
      </c>
      <c r="AV135" s="113">
        <f>$AT135*J135/SUM($I135:$K135)</f>
        <v>1601.4512536596326</v>
      </c>
      <c r="AW135" s="114">
        <f>$AT135*K135/SUM($I135:$K135)</f>
        <v>0</v>
      </c>
      <c r="AX135" s="110"/>
      <c r="AY135" s="241">
        <f>AU135</f>
        <v>1471.6200727108301</v>
      </c>
      <c r="AZ135" s="242">
        <f>AV135</f>
        <v>1601.4512536596326</v>
      </c>
      <c r="BA135" s="242">
        <f>AW135</f>
        <v>0</v>
      </c>
      <c r="BB135" s="114">
        <f>AT135+AP135</f>
        <v>3073.0713263704629</v>
      </c>
      <c r="BC135" s="118">
        <f>BB135/[2]Popn!$C$41*1000</f>
        <v>0.43668997764988765</v>
      </c>
      <c r="BD135" s="122"/>
      <c r="BG135" s="144"/>
      <c r="BR135" s="6"/>
      <c r="BS135" s="6"/>
      <c r="BT135" s="6"/>
      <c r="BU135" s="6"/>
      <c r="BV135" s="6"/>
      <c r="BW135" s="6"/>
      <c r="BX135" s="6"/>
      <c r="BY135" s="6"/>
      <c r="BZ135" s="6"/>
      <c r="CA135" s="6"/>
      <c r="CB135" s="6"/>
      <c r="CC135" s="6"/>
    </row>
    <row r="136" spans="1:81">
      <c r="A136" s="699"/>
      <c r="B136" s="23" t="s">
        <v>11</v>
      </c>
      <c r="C136" s="17" t="s">
        <v>12</v>
      </c>
      <c r="D136" s="57"/>
      <c r="E136" s="2"/>
      <c r="F136" s="2"/>
      <c r="G136" s="63"/>
      <c r="H136" s="2"/>
      <c r="I136" s="20"/>
      <c r="J136" s="21"/>
      <c r="K136" s="21"/>
      <c r="L136" s="22"/>
      <c r="M136" s="2"/>
      <c r="N136" s="20"/>
      <c r="O136" s="21"/>
      <c r="P136" s="21"/>
      <c r="Q136" s="22"/>
      <c r="R136" s="33"/>
      <c r="T136" s="57"/>
      <c r="U136" s="2"/>
      <c r="V136" s="2"/>
      <c r="W136" s="199"/>
      <c r="X136" s="273"/>
      <c r="Y136" s="2"/>
      <c r="Z136" s="2"/>
      <c r="AA136" s="274"/>
      <c r="AB136" s="21"/>
      <c r="AC136" s="21"/>
      <c r="AD136" s="21"/>
      <c r="AE136" s="21"/>
      <c r="AF136" s="70"/>
      <c r="AG136" s="20"/>
      <c r="AH136" s="21"/>
      <c r="AI136" s="21"/>
      <c r="AJ136" s="22"/>
      <c r="AK136" s="29"/>
      <c r="AL136" s="19"/>
      <c r="AM136" s="57"/>
      <c r="AN136" s="2"/>
      <c r="AO136" s="2"/>
      <c r="AP136" s="63"/>
      <c r="AQ136" s="68"/>
      <c r="AR136" s="21"/>
      <c r="AS136" s="21"/>
      <c r="AT136" s="21"/>
      <c r="AU136" s="25"/>
      <c r="AV136" s="21"/>
      <c r="AW136" s="22"/>
      <c r="AX136" s="2"/>
      <c r="AY136" s="23"/>
      <c r="AZ136" s="19"/>
      <c r="BA136" s="19"/>
      <c r="BB136" s="19"/>
      <c r="BC136" s="24"/>
    </row>
    <row r="137" spans="1:81">
      <c r="A137" s="699"/>
      <c r="B137" s="23"/>
      <c r="C137" s="17" t="s">
        <v>13</v>
      </c>
      <c r="D137" s="57"/>
      <c r="E137" s="2"/>
      <c r="F137" s="2"/>
      <c r="G137" s="156"/>
      <c r="H137" s="3"/>
      <c r="I137" s="20"/>
      <c r="J137" s="21"/>
      <c r="K137" s="21"/>
      <c r="L137" s="22"/>
      <c r="M137" s="83"/>
      <c r="N137" s="20"/>
      <c r="O137" s="21"/>
      <c r="P137" s="21"/>
      <c r="Q137" s="22"/>
      <c r="R137" s="34"/>
      <c r="T137" s="57"/>
      <c r="U137" s="2"/>
      <c r="V137" s="2"/>
      <c r="W137" s="199"/>
      <c r="X137" s="281"/>
      <c r="Y137" s="3"/>
      <c r="Z137" s="3"/>
      <c r="AA137" s="282"/>
      <c r="AB137" s="21"/>
      <c r="AC137" s="21"/>
      <c r="AD137" s="21"/>
      <c r="AE137" s="21"/>
      <c r="AF137" s="70"/>
      <c r="AG137" s="20"/>
      <c r="AH137" s="21"/>
      <c r="AI137" s="21"/>
      <c r="AJ137" s="22"/>
      <c r="AK137" s="29"/>
      <c r="AL137" s="19"/>
      <c r="AM137" s="57"/>
      <c r="AN137" s="2"/>
      <c r="AO137" s="2"/>
      <c r="AP137" s="64"/>
      <c r="AQ137" s="69"/>
      <c r="AR137" s="21"/>
      <c r="AS137" s="21"/>
      <c r="AT137" s="21"/>
      <c r="AU137" s="25"/>
      <c r="AV137" s="21"/>
      <c r="AW137" s="22"/>
      <c r="AX137" s="2"/>
      <c r="AY137" s="20"/>
      <c r="AZ137" s="21"/>
      <c r="BA137" s="21"/>
      <c r="BB137" s="21"/>
      <c r="BC137" s="24"/>
    </row>
    <row r="138" spans="1:81">
      <c r="A138" s="699"/>
      <c r="B138" s="23"/>
      <c r="C138" s="17" t="s">
        <v>14</v>
      </c>
      <c r="D138" s="57"/>
      <c r="E138" s="2"/>
      <c r="F138" s="2"/>
      <c r="G138" s="156"/>
      <c r="H138" s="3"/>
      <c r="I138" s="20"/>
      <c r="J138" s="21"/>
      <c r="K138" s="21"/>
      <c r="L138" s="22"/>
      <c r="M138" s="83"/>
      <c r="N138" s="20"/>
      <c r="O138" s="21"/>
      <c r="P138" s="21"/>
      <c r="Q138" s="22"/>
      <c r="R138" s="34"/>
      <c r="T138" s="57"/>
      <c r="U138" s="2"/>
      <c r="V138" s="2"/>
      <c r="W138" s="199"/>
      <c r="X138" s="281"/>
      <c r="Y138" s="3"/>
      <c r="Z138" s="3"/>
      <c r="AA138" s="282"/>
      <c r="AB138" s="21"/>
      <c r="AC138" s="21"/>
      <c r="AD138" s="21"/>
      <c r="AE138" s="21"/>
      <c r="AF138" s="70"/>
      <c r="AG138" s="20"/>
      <c r="AH138" s="21"/>
      <c r="AI138" s="21"/>
      <c r="AJ138" s="22"/>
      <c r="AK138" s="29"/>
      <c r="AL138" s="19"/>
      <c r="AM138" s="57"/>
      <c r="AN138" s="2"/>
      <c r="AO138" s="2"/>
      <c r="AP138" s="64"/>
      <c r="AQ138" s="69"/>
      <c r="AR138" s="21"/>
      <c r="AS138" s="21"/>
      <c r="AT138" s="21"/>
      <c r="AU138" s="25"/>
      <c r="AV138" s="21"/>
      <c r="AW138" s="22"/>
      <c r="AX138" s="2"/>
      <c r="AY138" s="23"/>
      <c r="AZ138" s="19"/>
      <c r="BA138" s="19"/>
      <c r="BB138" s="21"/>
      <c r="BC138" s="24"/>
      <c r="BR138" s="106"/>
      <c r="BS138" s="106"/>
      <c r="CA138" s="106"/>
    </row>
    <row r="139" spans="1:81">
      <c r="A139" s="699"/>
      <c r="B139" s="23"/>
      <c r="C139" s="17" t="s">
        <v>15</v>
      </c>
      <c r="D139" s="57"/>
      <c r="E139" s="2"/>
      <c r="F139" s="2"/>
      <c r="G139" s="156"/>
      <c r="H139" s="3"/>
      <c r="I139" s="20"/>
      <c r="J139" s="21"/>
      <c r="K139" s="21"/>
      <c r="L139" s="22"/>
      <c r="M139" s="83"/>
      <c r="N139" s="20"/>
      <c r="O139" s="21"/>
      <c r="P139" s="21"/>
      <c r="Q139" s="22"/>
      <c r="R139" s="34"/>
      <c r="T139" s="57"/>
      <c r="U139" s="2"/>
      <c r="V139" s="2"/>
      <c r="W139" s="199"/>
      <c r="X139" s="281"/>
      <c r="Y139" s="3"/>
      <c r="Z139" s="3"/>
      <c r="AA139" s="282"/>
      <c r="AB139" s="21"/>
      <c r="AC139" s="21"/>
      <c r="AD139" s="21"/>
      <c r="AE139" s="21"/>
      <c r="AF139" s="70"/>
      <c r="AG139" s="20"/>
      <c r="AH139" s="21"/>
      <c r="AI139" s="21"/>
      <c r="AJ139" s="22"/>
      <c r="AK139" s="29"/>
      <c r="AL139" s="19"/>
      <c r="AM139" s="57"/>
      <c r="AN139" s="2"/>
      <c r="AO139" s="2"/>
      <c r="AP139" s="64"/>
      <c r="AQ139" s="69"/>
      <c r="AR139" s="21"/>
      <c r="AS139" s="21"/>
      <c r="AT139" s="21"/>
      <c r="AU139" s="25"/>
      <c r="AV139" s="21"/>
      <c r="AW139" s="22"/>
      <c r="AX139" s="2"/>
      <c r="AY139" s="23"/>
      <c r="AZ139" s="19"/>
      <c r="BA139" s="19"/>
      <c r="BB139" s="21"/>
      <c r="BC139" s="24"/>
      <c r="BR139" s="106"/>
      <c r="BS139" s="106"/>
      <c r="BT139" s="106"/>
      <c r="BU139" s="106"/>
      <c r="BV139" s="106"/>
      <c r="BW139" s="106"/>
      <c r="BX139" s="106"/>
      <c r="BY139" s="106"/>
      <c r="BZ139" s="106"/>
      <c r="CA139" s="106"/>
    </row>
    <row r="140" spans="1:81" s="106" customFormat="1">
      <c r="A140" s="699"/>
      <c r="B140" s="107" t="s">
        <v>67</v>
      </c>
      <c r="C140" s="108"/>
      <c r="D140" s="109"/>
      <c r="E140" s="110"/>
      <c r="F140" s="110"/>
      <c r="G140" s="263"/>
      <c r="H140" s="125"/>
      <c r="I140" s="112">
        <f>D$144*'[2]Lfill en &amp; composn'!B$140</f>
        <v>41389.795411853105</v>
      </c>
      <c r="J140" s="113">
        <f>E144*'[2]C&amp;I composn'!$E$28</f>
        <v>247411.30680063341</v>
      </c>
      <c r="K140" s="113">
        <f>F144*'[2]Lfill en &amp; composn'!C$140</f>
        <v>460664.4205215309</v>
      </c>
      <c r="L140" s="114">
        <f>SUM(I140:K140)</f>
        <v>749465.52273401734</v>
      </c>
      <c r="M140" s="110"/>
      <c r="N140" s="112">
        <f>I140-AU140</f>
        <v>41389.795411853105</v>
      </c>
      <c r="O140" s="113">
        <f>J140-AV140</f>
        <v>247411.30680063341</v>
      </c>
      <c r="P140" s="113">
        <f>K140-AW140</f>
        <v>460664.4205215309</v>
      </c>
      <c r="Q140" s="114">
        <f>SUM(N140:P140)</f>
        <v>749465.52273401734</v>
      </c>
      <c r="R140" s="115">
        <f>Q140/[2]Popn!$C$41*1000</f>
        <v>106.50064629597371</v>
      </c>
      <c r="T140" s="109"/>
      <c r="U140" s="110"/>
      <c r="V140" s="110"/>
      <c r="W140" s="203"/>
      <c r="X140" s="283"/>
      <c r="Y140" s="125"/>
      <c r="Z140" s="125"/>
      <c r="AA140" s="284"/>
      <c r="AB140" s="113"/>
      <c r="AC140" s="113"/>
      <c r="AD140" s="113"/>
      <c r="AE140" s="113"/>
      <c r="AF140" s="117"/>
      <c r="AG140" s="112"/>
      <c r="AH140" s="113"/>
      <c r="AI140" s="113"/>
      <c r="AJ140" s="114"/>
      <c r="AK140" s="118"/>
      <c r="AL140" s="119"/>
      <c r="AM140" s="109"/>
      <c r="AN140" s="110"/>
      <c r="AO140" s="110"/>
      <c r="AP140" s="124"/>
      <c r="AQ140" s="126"/>
      <c r="AR140" s="113"/>
      <c r="AS140" s="113"/>
      <c r="AT140" s="113"/>
      <c r="AU140" s="120"/>
      <c r="AV140" s="113"/>
      <c r="AW140" s="114"/>
      <c r="AX140" s="110"/>
      <c r="AY140" s="127"/>
      <c r="AZ140" s="119"/>
      <c r="BA140" s="119"/>
      <c r="BB140" s="113"/>
      <c r="BC140" s="121"/>
      <c r="BG140" s="144"/>
      <c r="BR140" s="6"/>
      <c r="BS140" s="6"/>
      <c r="CA140" s="6"/>
      <c r="CB140" s="6"/>
      <c r="CC140" s="6"/>
    </row>
    <row r="141" spans="1:81" s="106" customFormat="1" ht="13.5" thickBot="1">
      <c r="A141" s="699"/>
      <c r="B141" s="131" t="s">
        <v>37</v>
      </c>
      <c r="C141" s="132" t="s">
        <v>1</v>
      </c>
      <c r="D141" s="109"/>
      <c r="E141" s="110"/>
      <c r="F141" s="110"/>
      <c r="G141" s="203">
        <f>'[2]Fly ash'!$B$262</f>
        <v>2754445.3816466546</v>
      </c>
      <c r="H141" s="130"/>
      <c r="I141" s="112"/>
      <c r="J141" s="113"/>
      <c r="K141" s="113"/>
      <c r="L141" s="114"/>
      <c r="M141" s="110"/>
      <c r="N141" s="127"/>
      <c r="O141" s="119"/>
      <c r="P141" s="119"/>
      <c r="Q141" s="113">
        <f>G141</f>
        <v>2754445.3816466546</v>
      </c>
      <c r="R141" s="115">
        <f>Q141/[2]Popn!$C$41*1000</f>
        <v>391.41255259107845</v>
      </c>
      <c r="T141" s="109"/>
      <c r="U141" s="110"/>
      <c r="V141" s="110"/>
      <c r="W141" s="203"/>
      <c r="X141" s="253"/>
      <c r="Y141" s="130"/>
      <c r="Z141" s="130"/>
      <c r="AA141" s="285">
        <f>'[2]Fly ash'!$B$254</f>
        <v>2065697.2641509434</v>
      </c>
      <c r="AB141" s="113"/>
      <c r="AC141" s="113"/>
      <c r="AD141" s="113"/>
      <c r="AE141" s="113"/>
      <c r="AF141" s="117"/>
      <c r="AG141" s="112"/>
      <c r="AH141" s="113"/>
      <c r="AI141" s="113"/>
      <c r="AJ141" s="114">
        <f>AA141</f>
        <v>2065697.2641509434</v>
      </c>
      <c r="AK141" s="118">
        <f>AJ141/[2]Popn!$C$41*1000</f>
        <v>293.53997883899552</v>
      </c>
      <c r="AL141" s="119"/>
      <c r="AM141" s="109"/>
      <c r="AN141" s="110"/>
      <c r="AO141" s="110"/>
      <c r="AP141" s="111"/>
      <c r="AQ141" s="117"/>
      <c r="AR141" s="113"/>
      <c r="AS141" s="113"/>
      <c r="AT141" s="113"/>
      <c r="AU141" s="120"/>
      <c r="AV141" s="113"/>
      <c r="AW141" s="114"/>
      <c r="AX141" s="110"/>
      <c r="AY141" s="127"/>
      <c r="AZ141" s="119"/>
      <c r="BA141" s="119"/>
      <c r="BB141" s="119"/>
      <c r="BC141" s="121"/>
      <c r="BG141" s="144"/>
      <c r="BR141" s="6"/>
      <c r="BS141" s="6"/>
      <c r="BT141" s="6"/>
      <c r="BU141" s="6"/>
      <c r="BV141" s="6"/>
      <c r="BW141" s="6"/>
      <c r="BX141" s="6"/>
      <c r="BY141" s="6"/>
      <c r="BZ141" s="6"/>
      <c r="CA141" s="6"/>
      <c r="CB141" s="6"/>
      <c r="CC141" s="6"/>
    </row>
    <row r="142" spans="1:81" ht="13.5" thickBot="1">
      <c r="B142" s="19"/>
      <c r="C142" s="38"/>
      <c r="D142" s="57"/>
      <c r="E142" s="2"/>
      <c r="F142" s="2"/>
      <c r="G142" s="63"/>
      <c r="H142" s="2"/>
      <c r="I142" s="20"/>
      <c r="J142" s="21"/>
      <c r="K142" s="21"/>
      <c r="L142" s="22"/>
      <c r="M142" s="2"/>
      <c r="N142" s="23"/>
      <c r="O142" s="19"/>
      <c r="P142" s="19"/>
      <c r="Q142" s="19"/>
      <c r="R142" s="24"/>
      <c r="T142" s="57"/>
      <c r="U142" s="2"/>
      <c r="V142" s="2"/>
      <c r="W142" s="63"/>
      <c r="X142" s="273"/>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row>
    <row r="143" spans="1:81" ht="13.5" thickBot="1">
      <c r="C143" s="39" t="s">
        <v>38</v>
      </c>
      <c r="D143" s="206"/>
      <c r="E143" s="207"/>
      <c r="F143" s="198"/>
      <c r="G143" s="208"/>
      <c r="H143" s="2"/>
      <c r="I143" s="20"/>
      <c r="J143" s="21"/>
      <c r="K143" s="21"/>
      <c r="L143" s="22"/>
      <c r="M143" s="2"/>
      <c r="N143" s="23"/>
      <c r="O143" s="19"/>
      <c r="P143" s="19"/>
      <c r="Q143" s="19"/>
      <c r="R143" s="24"/>
      <c r="T143" s="58"/>
      <c r="U143" s="59"/>
      <c r="V143" s="2"/>
      <c r="W143" s="208"/>
      <c r="X143" s="273"/>
      <c r="Y143" s="2"/>
      <c r="Z143" s="2"/>
      <c r="AA143" s="274"/>
      <c r="AB143" s="21"/>
      <c r="AC143" s="21"/>
      <c r="AD143" s="21"/>
      <c r="AE143" s="21"/>
      <c r="AF143" s="70"/>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19"/>
      <c r="BC143" s="24"/>
    </row>
    <row r="144" spans="1:81" ht="13.5" thickBot="1">
      <c r="C144" s="135" t="s">
        <v>92</v>
      </c>
      <c r="D144" s="134">
        <f>[2]NSW!$E$87</f>
        <v>2384500</v>
      </c>
      <c r="E144" s="134">
        <f>[2]NSW!$E$93</f>
        <v>2588500</v>
      </c>
      <c r="F144" s="134">
        <f>[2]NSW!$E$99</f>
        <v>1759500</v>
      </c>
      <c r="G144" s="66">
        <f>SUM(D144:F144)</f>
        <v>6732500</v>
      </c>
      <c r="H144" s="246"/>
      <c r="I144" s="41">
        <f>SUM(I140,I135,I132,I131,I121,I116,I110,I106)</f>
        <v>2384500</v>
      </c>
      <c r="J144" s="218">
        <f>SUM(J140,J135,J132,J131,J121,J116,J110,J106)</f>
        <v>2588500</v>
      </c>
      <c r="K144" s="218">
        <f>SUM(K140,K135,K132,K131,K121,K116,K110,K106)</f>
        <v>1759460.6854473217</v>
      </c>
      <c r="L144" s="42">
        <f>SUM(L140,L135,L132,L131,L121,L116,L110,L106)</f>
        <v>6732460.6854473213</v>
      </c>
      <c r="M144" s="43"/>
      <c r="N144" s="44">
        <f>SUM(N140,N135,N132,N131,N121,N116,N110,N106)</f>
        <v>2185616.4200398629</v>
      </c>
      <c r="O144" s="45">
        <f>SUM(O140,O135,O132,O131,O121,O116,O110,O106)</f>
        <v>2386966.4816426416</v>
      </c>
      <c r="P144" s="45">
        <f>SUM(P140,P135,P132,P131,P121,P116,P110,P106)</f>
        <v>1736854.8759593812</v>
      </c>
      <c r="Q144" s="133">
        <f>SUM(Q140,Q135,Q132,Q131,Q121,Q116,Q110,Q106,Q143)</f>
        <v>6309437.7776418859</v>
      </c>
      <c r="R144" s="27">
        <f>SUM(R140,R135,R132,R131,R121,R116,R110,R106)</f>
        <v>896.58454018246925</v>
      </c>
      <c r="T144" s="60">
        <f>[2]NSW!$F$87</f>
        <v>1863500</v>
      </c>
      <c r="U144" s="134">
        <f>[2]NSW!$F$93</f>
        <v>2836500</v>
      </c>
      <c r="V144" s="134">
        <f>[2]NSW!$F$99</f>
        <v>4829000</v>
      </c>
      <c r="W144" s="66">
        <f>SUM(T144:V144)</f>
        <v>9529000</v>
      </c>
      <c r="X144" s="286"/>
      <c r="Y144" s="266"/>
      <c r="Z144" s="266"/>
      <c r="AA144" s="287"/>
      <c r="AB144" s="45">
        <f>SUM(AB106,AB110,AB116,AB121,AB131,AB132,AB135,AB140)</f>
        <v>1863500</v>
      </c>
      <c r="AC144" s="45">
        <f>SUM(AC106,AC110,AC116,AC121,AC131,AC132,AC135,AC140)</f>
        <v>2836499.9999999991</v>
      </c>
      <c r="AD144" s="45">
        <f>SUM(AD106,AD110,AD116,AD121,AD131,AD132,AD135,AD140)</f>
        <v>4829000</v>
      </c>
      <c r="AE144" s="45"/>
      <c r="AF144" s="85" t="s">
        <v>93</v>
      </c>
      <c r="AG144" s="44"/>
      <c r="AH144" s="45"/>
      <c r="AI144" s="45"/>
      <c r="AJ144" s="354">
        <f>SUM(AJ140,AJ135,AJ132,AJ131,AJ121,AJ116,AJ110,AJ106,AJ143)</f>
        <v>9529000</v>
      </c>
      <c r="AK144" s="27">
        <f>SUM(AK140,AK135,AK132,AK131,AK121,AK116,AK110,AK106,AK143)</f>
        <v>1354.0911860124329</v>
      </c>
      <c r="AL144" s="19"/>
      <c r="AM144" s="60"/>
      <c r="AN144" s="706"/>
      <c r="AO144" s="707"/>
      <c r="AP144" s="66"/>
      <c r="AQ144" s="71"/>
      <c r="AR144" s="45">
        <f>SUM(AR101:AR143)</f>
        <v>493679.32367694809</v>
      </c>
      <c r="AS144" s="46">
        <f>SUM(AS101:AS143)</f>
        <v>1</v>
      </c>
      <c r="AT144" s="45">
        <f>SUM(AT101:AT143)</f>
        <v>744910.90023588296</v>
      </c>
      <c r="AU144" s="47"/>
      <c r="AV144" s="45"/>
      <c r="AW144" s="214"/>
      <c r="AX144" s="43"/>
      <c r="AY144" s="44">
        <f>SUM(AY140,AY135,AY132,AY131,AY121,AY116,AY110,AY106)</f>
        <v>198883.57996013723</v>
      </c>
      <c r="AZ144" s="45">
        <f>SUM(AZ140,AZ135,AZ132,AZ131,AZ121,AZ116,AZ110,AZ106)</f>
        <v>201533.51835735844</v>
      </c>
      <c r="BA144" s="45">
        <f>SUM(BA140,BA135,BA132,BA131,BA121,BA116,BA110,BA106)</f>
        <v>22605.809487940485</v>
      </c>
      <c r="BB144" s="354">
        <f>SUM(BB140,BB135,BB132,BB131,BB121,BB116,BB110,BB106,BB143)</f>
        <v>423022.90780543617</v>
      </c>
      <c r="BC144" s="27">
        <f>SUM(BC140,BC135,BC132,BC131,BC121,BC116,BC110,BC106,BC143)</f>
        <v>60.112455760383149</v>
      </c>
    </row>
    <row r="145" spans="1:81" ht="13.5" thickBot="1">
      <c r="C145" s="136" t="s">
        <v>65</v>
      </c>
      <c r="Q145" s="49">
        <f>Q144+Q141</f>
        <v>9063883.1592885405</v>
      </c>
      <c r="R145" s="216">
        <f>R144+R141</f>
        <v>1287.9970927735476</v>
      </c>
      <c r="AB145" s="302">
        <f>AB144-AB115</f>
        <v>1729400</v>
      </c>
      <c r="AJ145" s="353">
        <f>AJ144+AJ141</f>
        <v>11594697.264150944</v>
      </c>
      <c r="AK145" s="216">
        <f>AK144+AK141</f>
        <v>1647.6311648514284</v>
      </c>
      <c r="BB145" s="353">
        <f>BB144+BB141</f>
        <v>423022.90780543617</v>
      </c>
      <c r="BC145" s="216">
        <f>BC144+BC141</f>
        <v>60.112455760383149</v>
      </c>
    </row>
    <row r="146" spans="1:81">
      <c r="BR146" s="8"/>
      <c r="BS146" s="8"/>
    </row>
    <row r="147" spans="1:81" ht="13.5" thickBot="1">
      <c r="C147" s="89"/>
      <c r="W147" s="215"/>
      <c r="X147" s="215"/>
      <c r="Y147" s="215"/>
      <c r="Z147" s="215"/>
      <c r="AA147" s="215"/>
      <c r="AT147" s="215"/>
      <c r="AU147" s="215"/>
      <c r="AV147" s="215"/>
      <c r="AW147" s="215"/>
      <c r="BR147" s="7"/>
      <c r="BS147" s="7"/>
      <c r="BT147" s="8"/>
      <c r="BU147" s="8"/>
    </row>
    <row r="148" spans="1:81">
      <c r="A148" s="699" t="s">
        <v>83</v>
      </c>
      <c r="B148" s="16" t="s">
        <v>3</v>
      </c>
      <c r="C148" s="148" t="s">
        <v>16</v>
      </c>
      <c r="D148" s="55"/>
      <c r="E148" s="56"/>
      <c r="F148" s="56"/>
      <c r="G148" s="149"/>
      <c r="H148" s="150"/>
      <c r="I148" s="151"/>
      <c r="J148" s="26"/>
      <c r="K148" s="26"/>
      <c r="L148" s="133"/>
      <c r="M148" s="56"/>
      <c r="N148" s="16"/>
      <c r="O148" s="18"/>
      <c r="P148" s="18"/>
      <c r="Q148" s="18"/>
      <c r="R148" s="28"/>
      <c r="S148" s="152"/>
      <c r="T148" s="55"/>
      <c r="U148" s="56"/>
      <c r="V148" s="56"/>
      <c r="W148" s="199"/>
      <c r="X148" s="271"/>
      <c r="Y148" s="5"/>
      <c r="Z148" s="5"/>
      <c r="AA148" s="272"/>
      <c r="AB148" s="26"/>
      <c r="AC148" s="26"/>
      <c r="AD148" s="26">
        <f>(V191-Z178)*[2]NSW!$Z$118</f>
        <v>377020.23420714278</v>
      </c>
      <c r="AE148" s="26"/>
      <c r="AF148" s="84"/>
      <c r="AG148" s="151"/>
      <c r="AH148" s="26"/>
      <c r="AI148" s="26"/>
      <c r="AJ148" s="133"/>
      <c r="AK148" s="27"/>
      <c r="AL148" s="18"/>
      <c r="AM148" s="55"/>
      <c r="AN148" s="56"/>
      <c r="AO148" s="56"/>
      <c r="AP148" s="149"/>
      <c r="AQ148" s="153"/>
      <c r="AR148" s="26"/>
      <c r="AS148" s="26"/>
      <c r="AT148" s="21"/>
      <c r="AU148" s="25"/>
      <c r="AV148" s="21"/>
      <c r="AW148" s="22"/>
      <c r="AX148" s="56"/>
      <c r="AY148" s="16"/>
      <c r="AZ148" s="18"/>
      <c r="BA148" s="18"/>
      <c r="BB148" s="244"/>
      <c r="BC148" s="28"/>
      <c r="BD148" s="8"/>
      <c r="BH148" s="700" t="s">
        <v>86</v>
      </c>
      <c r="BI148" s="701"/>
      <c r="BJ148" s="701"/>
      <c r="BK148" s="701"/>
      <c r="BL148" s="702"/>
      <c r="BM148" s="700" t="s">
        <v>87</v>
      </c>
      <c r="BN148" s="702"/>
      <c r="BP148" s="8"/>
      <c r="BQ148" s="8"/>
      <c r="BR148" s="30"/>
      <c r="BS148" s="31"/>
      <c r="BT148" s="7"/>
      <c r="BU148" s="7"/>
    </row>
    <row r="149" spans="1:81">
      <c r="A149" s="699"/>
      <c r="B149" s="23"/>
      <c r="C149" s="17" t="s">
        <v>17</v>
      </c>
      <c r="D149" s="57"/>
      <c r="E149" s="2"/>
      <c r="F149" s="2"/>
      <c r="G149" s="63"/>
      <c r="H149" s="5"/>
      <c r="I149" s="20"/>
      <c r="J149" s="21"/>
      <c r="K149" s="21"/>
      <c r="L149" s="22"/>
      <c r="M149" s="2"/>
      <c r="N149" s="23"/>
      <c r="O149" s="19"/>
      <c r="P149" s="19"/>
      <c r="Q149" s="19"/>
      <c r="R149" s="24"/>
      <c r="T149" s="57"/>
      <c r="U149" s="2"/>
      <c r="V149" s="2"/>
      <c r="W149" s="199"/>
      <c r="X149" s="271"/>
      <c r="Y149" s="5"/>
      <c r="Z149" s="5"/>
      <c r="AA149" s="272"/>
      <c r="AB149" s="21"/>
      <c r="AC149" s="21"/>
      <c r="AD149" s="21">
        <f>(V191-Z178)*[2]NSW!$Z$119</f>
        <v>879241.42338282277</v>
      </c>
      <c r="AE149" s="21"/>
      <c r="AF149" s="70"/>
      <c r="AG149" s="20"/>
      <c r="AH149" s="21"/>
      <c r="AI149" s="21"/>
      <c r="AJ149" s="22"/>
      <c r="AK149" s="29"/>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30"/>
      <c r="BS149" s="31"/>
      <c r="BT149" s="31"/>
      <c r="BU149" s="32"/>
    </row>
    <row r="150" spans="1:81">
      <c r="A150" s="699"/>
      <c r="B150" s="23"/>
      <c r="C150" s="17" t="s">
        <v>18</v>
      </c>
      <c r="D150" s="57"/>
      <c r="E150" s="2"/>
      <c r="F150" s="2"/>
      <c r="G150" s="63"/>
      <c r="H150" s="5"/>
      <c r="I150" s="20"/>
      <c r="J150" s="21"/>
      <c r="K150" s="21"/>
      <c r="L150" s="22"/>
      <c r="M150" s="2"/>
      <c r="N150" s="23"/>
      <c r="O150" s="19"/>
      <c r="P150" s="19"/>
      <c r="Q150" s="19"/>
      <c r="R150" s="24"/>
      <c r="T150" s="57"/>
      <c r="U150" s="2"/>
      <c r="V150" s="2"/>
      <c r="W150" s="199"/>
      <c r="X150" s="271"/>
      <c r="Y150" s="5"/>
      <c r="Z150" s="5"/>
      <c r="AA150" s="272"/>
      <c r="AB150" s="21"/>
      <c r="AC150" s="21"/>
      <c r="AD150" s="21">
        <f>(V191-Z178)*[2]NSW!$Z$120</f>
        <v>1779743.3862886052</v>
      </c>
      <c r="AE150" s="21"/>
      <c r="AF150" s="70"/>
      <c r="AG150" s="20"/>
      <c r="AH150" s="21"/>
      <c r="AI150" s="21"/>
      <c r="AJ150" s="22"/>
      <c r="AK150" s="29"/>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T150" s="31"/>
      <c r="BU150" s="32"/>
    </row>
    <row r="151" spans="1:81">
      <c r="A151" s="699"/>
      <c r="B151" s="23"/>
      <c r="C151" s="17" t="s">
        <v>182</v>
      </c>
      <c r="D151" s="57"/>
      <c r="E151" s="2"/>
      <c r="F151" s="2"/>
      <c r="G151" s="63"/>
      <c r="H151" s="2"/>
      <c r="I151" s="20"/>
      <c r="J151" s="21"/>
      <c r="K151" s="21"/>
      <c r="L151" s="22"/>
      <c r="M151" s="2"/>
      <c r="N151" s="23"/>
      <c r="O151" s="19"/>
      <c r="P151" s="19"/>
      <c r="Q151" s="19"/>
      <c r="R151" s="24"/>
      <c r="T151" s="57"/>
      <c r="U151" s="2"/>
      <c r="V151" s="2"/>
      <c r="W151" s="199"/>
      <c r="X151" s="273"/>
      <c r="Y151" s="2"/>
      <c r="Z151" s="2"/>
      <c r="AA151" s="274"/>
      <c r="AB151" s="21"/>
      <c r="AC151" s="21"/>
      <c r="AD151" s="21">
        <f>(V191-Z178)*[2]NSW!$Z$121</f>
        <v>773883.63863571419</v>
      </c>
      <c r="AE151" s="21"/>
      <c r="AF151" s="70"/>
      <c r="AG151" s="20"/>
      <c r="AH151" s="21"/>
      <c r="AI151" s="21"/>
      <c r="AJ151" s="22"/>
      <c r="AK151" s="29"/>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2230.4364461975506</v>
      </c>
      <c r="BI151" s="52">
        <f>O191/1000</f>
        <v>2744.830120505304</v>
      </c>
      <c r="BJ151" s="52">
        <f>P191/1000</f>
        <v>2015.1962239000136</v>
      </c>
      <c r="BK151" s="53">
        <f>Q191/1000</f>
        <v>6990.4627906028682</v>
      </c>
      <c r="BL151" s="54">
        <f>R191/1000</f>
        <v>1.0189968808373513</v>
      </c>
      <c r="BM151" s="51">
        <f>Q192/1000</f>
        <v>10076.508933154108</v>
      </c>
      <c r="BN151" s="54">
        <f>R192/1000</f>
        <v>1.46884855555153</v>
      </c>
      <c r="BP151" s="30"/>
      <c r="BQ151" s="30"/>
      <c r="BR151" s="106"/>
      <c r="BS151" s="106"/>
      <c r="CA151" s="106"/>
      <c r="CB151" s="106"/>
      <c r="CC151" s="106"/>
    </row>
    <row r="152" spans="1:81">
      <c r="A152" s="699"/>
      <c r="B152" s="23"/>
      <c r="C152" s="17" t="s">
        <v>183</v>
      </c>
      <c r="D152" s="57"/>
      <c r="E152" s="2"/>
      <c r="F152" s="2"/>
      <c r="G152" s="63"/>
      <c r="H152" s="2"/>
      <c r="I152" s="20"/>
      <c r="J152" s="21"/>
      <c r="K152" s="21"/>
      <c r="L152" s="22"/>
      <c r="M152" s="2"/>
      <c r="N152" s="23"/>
      <c r="O152" s="19"/>
      <c r="P152" s="19"/>
      <c r="Q152" s="19"/>
      <c r="R152" s="33"/>
      <c r="T152" s="57"/>
      <c r="U152" s="2"/>
      <c r="V152" s="2"/>
      <c r="W152" s="199"/>
      <c r="X152" s="273"/>
      <c r="Y152" s="2"/>
      <c r="Z152" s="2"/>
      <c r="AA152" s="274"/>
      <c r="AB152" s="21"/>
      <c r="AC152" s="21"/>
      <c r="AD152" s="21">
        <f>(V191-Z178)*[2]NSW!$Z$122</f>
        <v>12283.86727993197</v>
      </c>
      <c r="AE152" s="21"/>
      <c r="AF152" s="70"/>
      <c r="AG152" s="20"/>
      <c r="AH152" s="21"/>
      <c r="AI152" s="21"/>
      <c r="AJ152" s="22"/>
      <c r="AK152" s="29"/>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1918.7998963162154</v>
      </c>
      <c r="BI152" s="52">
        <f>AH191/1000</f>
        <v>4157.3997753517997</v>
      </c>
      <c r="BJ152" s="52">
        <f>AI191/1000</f>
        <v>1918.7998963162154</v>
      </c>
      <c r="BK152" s="53">
        <f>AJ191/1000</f>
        <v>7994.9995679842305</v>
      </c>
      <c r="BL152" s="54">
        <f>AK191/1000</f>
        <v>1.1654277929958485</v>
      </c>
      <c r="BM152" s="51">
        <f>AJ192/1000</f>
        <v>9859.9954107496033</v>
      </c>
      <c r="BN152" s="54">
        <f>AK192/1000</f>
        <v>1.437287468596617</v>
      </c>
      <c r="BT152" s="106"/>
      <c r="BU152" s="106"/>
      <c r="BV152" s="106"/>
      <c r="BW152" s="106"/>
      <c r="BX152" s="106"/>
      <c r="BY152" s="106"/>
      <c r="BZ152" s="106"/>
    </row>
    <row r="153" spans="1:81" s="106" customFormat="1">
      <c r="A153" s="699"/>
      <c r="B153" s="107" t="s">
        <v>67</v>
      </c>
      <c r="C153" s="108"/>
      <c r="D153" s="109"/>
      <c r="E153" s="110"/>
      <c r="F153" s="110"/>
      <c r="G153" s="111"/>
      <c r="H153" s="110"/>
      <c r="I153" s="112">
        <f>D$144*'[2]Lfill en &amp; composn'!B$133</f>
        <v>119395.55542317686</v>
      </c>
      <c r="J153" s="113">
        <f>E191*'[2]C&amp;I composn'!$E$10</f>
        <v>119497.50078532589</v>
      </c>
      <c r="K153" s="113">
        <f>F191*'[2]Lfill en &amp; composn'!C$133</f>
        <v>1134828.0102588632</v>
      </c>
      <c r="L153" s="114">
        <f>SUM(I153:K153)</f>
        <v>1373721.0664673659</v>
      </c>
      <c r="M153" s="110"/>
      <c r="N153" s="112">
        <f>I153-AU153</f>
        <v>119395.55542317686</v>
      </c>
      <c r="O153" s="113">
        <f>J153-AV153</f>
        <v>119497.50078532589</v>
      </c>
      <c r="P153" s="113">
        <f>K153-AW153</f>
        <v>1134828.0102588632</v>
      </c>
      <c r="Q153" s="114">
        <f>SUM(N153:P153)</f>
        <v>1373721.0664673659</v>
      </c>
      <c r="R153" s="115">
        <f>Q153/[2]Popn!$C$40*1000</f>
        <v>200.24675387050922</v>
      </c>
      <c r="T153" s="109"/>
      <c r="U153" s="110"/>
      <c r="V153" s="110"/>
      <c r="W153" s="203"/>
      <c r="X153" s="275"/>
      <c r="Y153" s="110"/>
      <c r="Z153" s="110"/>
      <c r="AA153" s="276"/>
      <c r="AB153" s="113"/>
      <c r="AC153" s="113">
        <f>(U$191-Y$178)*'[2]C&amp;I composn'!E$71</f>
        <v>100404.67574052631</v>
      </c>
      <c r="AD153" s="113">
        <f>SUM(AD148:AD152)</f>
        <v>3822172.5497942166</v>
      </c>
      <c r="AE153" s="113"/>
      <c r="AF153" s="117"/>
      <c r="AG153" s="112"/>
      <c r="AH153" s="113"/>
      <c r="AI153" s="113"/>
      <c r="AJ153" s="114">
        <f>SUM(AB153:AD153)</f>
        <v>3922577.2255347432</v>
      </c>
      <c r="AK153" s="115">
        <f>AJ153/[2]Popn!$C$40*1000</f>
        <v>571.7924660205249</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154.06355380244904</v>
      </c>
      <c r="BI153" s="52">
        <f>AZ191/1000</f>
        <v>176.1698794946964</v>
      </c>
      <c r="BJ153" s="52">
        <f>BA191/1000</f>
        <v>20.258294558652501</v>
      </c>
      <c r="BK153" s="53">
        <f>BB191/1000</f>
        <v>350.49172785579788</v>
      </c>
      <c r="BL153" s="54">
        <f>BC191/1000</f>
        <v>5.1091034763028995E-2</v>
      </c>
      <c r="BM153" s="51">
        <f>BB192/1000</f>
        <v>350.49172785579788</v>
      </c>
      <c r="BN153" s="54">
        <f>BC192/1000</f>
        <v>5.1091034763028995E-2</v>
      </c>
      <c r="BO153" s="6"/>
      <c r="BR153" s="6"/>
      <c r="BS153" s="6"/>
      <c r="BT153" s="6"/>
      <c r="BU153" s="6"/>
      <c r="BV153" s="6"/>
      <c r="BW153" s="6"/>
      <c r="BX153" s="6"/>
      <c r="BY153" s="6"/>
      <c r="BZ153" s="6"/>
      <c r="CA153" s="6"/>
      <c r="CB153" s="6"/>
      <c r="CC153" s="6"/>
    </row>
    <row r="154" spans="1:81">
      <c r="A154" s="699"/>
      <c r="B154" s="23" t="s">
        <v>4</v>
      </c>
      <c r="C154" s="17" t="s">
        <v>19</v>
      </c>
      <c r="D154" s="57"/>
      <c r="E154" s="2"/>
      <c r="F154" s="2"/>
      <c r="G154" s="63"/>
      <c r="H154" s="2"/>
      <c r="I154" s="112"/>
      <c r="J154" s="21">
        <f>E191*'[2]C&amp;I composn'!$E$11</f>
        <v>79422.576856906642</v>
      </c>
      <c r="K154" s="113"/>
      <c r="L154" s="22"/>
      <c r="M154" s="2"/>
      <c r="N154" s="23"/>
      <c r="O154" s="19"/>
      <c r="P154" s="19"/>
      <c r="Q154" s="19"/>
      <c r="R154" s="33"/>
      <c r="T154" s="57"/>
      <c r="U154" s="2"/>
      <c r="V154" s="2"/>
      <c r="W154" s="199"/>
      <c r="X154" s="273"/>
      <c r="Y154" s="2"/>
      <c r="Z154" s="2"/>
      <c r="AA154" s="274"/>
      <c r="AB154" s="21">
        <f>(T191-X178-AB163)*[2]NSW!$H$110</f>
        <v>17824.330284001193</v>
      </c>
      <c r="AC154" s="21">
        <f>(U$191-Y$178)*SUMIF('[2]C&amp;I composn'!$B$71:$B$85,C154,'[2]C&amp;I composn'!$E$71:$E$85)</f>
        <v>359028.69690452225</v>
      </c>
      <c r="AD154" s="21"/>
      <c r="AE154" s="21"/>
      <c r="AF154" s="70"/>
      <c r="AG154" s="20"/>
      <c r="AH154" s="21"/>
      <c r="AI154" s="21"/>
      <c r="AJ154" s="22"/>
      <c r="AK154" s="29"/>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46">SUM(BH152:BH153)/BH155</f>
        <v>0.48169160877983719</v>
      </c>
      <c r="BI154" s="86">
        <f t="shared" si="46"/>
        <v>0.61222448468320867</v>
      </c>
      <c r="BJ154" s="86">
        <f t="shared" si="46"/>
        <v>0.49037264360878507</v>
      </c>
      <c r="BK154" s="87">
        <f t="shared" si="46"/>
        <v>0.54417816125424556</v>
      </c>
      <c r="BL154" s="87">
        <f t="shared" si="46"/>
        <v>0.54417816125424545</v>
      </c>
      <c r="BM154" s="88">
        <f t="shared" si="46"/>
        <v>0.50330207106506508</v>
      </c>
      <c r="BN154" s="87">
        <f t="shared" si="46"/>
        <v>0.50330207106506508</v>
      </c>
    </row>
    <row r="155" spans="1:81">
      <c r="A155" s="699"/>
      <c r="B155" s="23"/>
      <c r="C155" s="17" t="s">
        <v>20</v>
      </c>
      <c r="D155" s="57"/>
      <c r="E155" s="2"/>
      <c r="F155" s="2"/>
      <c r="G155" s="63"/>
      <c r="H155" s="2"/>
      <c r="I155" s="20"/>
      <c r="J155" s="21">
        <f>E191*'[2]C&amp;I composn'!$E$12</f>
        <v>10320.009266022284</v>
      </c>
      <c r="K155" s="21"/>
      <c r="L155" s="22"/>
      <c r="M155" s="2"/>
      <c r="N155" s="23"/>
      <c r="O155" s="19"/>
      <c r="P155" s="19"/>
      <c r="Q155" s="19"/>
      <c r="R155" s="33"/>
      <c r="T155" s="57"/>
      <c r="U155" s="2"/>
      <c r="V155" s="2"/>
      <c r="W155" s="199"/>
      <c r="X155" s="273"/>
      <c r="Y155" s="2"/>
      <c r="Z155" s="2"/>
      <c r="AA155" s="274"/>
      <c r="AB155" s="724">
        <f>(T191-X178-AB163)*[2]NSW!$H$111</f>
        <v>5242.4500835297613</v>
      </c>
      <c r="AC155" s="21">
        <f>(U$191-Y$178)*SUMIF('[2]C&amp;I composn'!$B$71:$B$85,C155,'[2]C&amp;I composn'!$E$71:$E$85)</f>
        <v>40297.141047290497</v>
      </c>
      <c r="AD155" s="21"/>
      <c r="AE155" s="21"/>
      <c r="AF155" s="70"/>
      <c r="AG155" s="20"/>
      <c r="AH155" s="21"/>
      <c r="AI155" s="21"/>
      <c r="AJ155" s="22"/>
      <c r="AK155" s="29"/>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47">SUM(BH151:BH153)</f>
        <v>4303.2998963162154</v>
      </c>
      <c r="BI155" s="52">
        <f t="shared" si="47"/>
        <v>7078.3997753517997</v>
      </c>
      <c r="BJ155" s="52">
        <f t="shared" si="47"/>
        <v>3954.2544147748813</v>
      </c>
      <c r="BK155" s="74">
        <f t="shared" si="47"/>
        <v>15335.954086442896</v>
      </c>
      <c r="BL155" s="76">
        <f t="shared" si="47"/>
        <v>2.2355157085962287</v>
      </c>
      <c r="BM155" s="81">
        <f t="shared" si="47"/>
        <v>20286.99607175951</v>
      </c>
      <c r="BN155" s="76">
        <f t="shared" si="47"/>
        <v>2.957227058911176</v>
      </c>
      <c r="BR155" s="106"/>
      <c r="BS155" s="106"/>
      <c r="CA155" s="106"/>
      <c r="CB155" s="106"/>
      <c r="CC155" s="106"/>
    </row>
    <row r="156" spans="1:81">
      <c r="A156" s="699"/>
      <c r="B156" s="23"/>
      <c r="C156" s="17" t="s">
        <v>21</v>
      </c>
      <c r="D156" s="57"/>
      <c r="E156" s="2"/>
      <c r="F156" s="2"/>
      <c r="G156" s="63"/>
      <c r="H156" s="2"/>
      <c r="I156" s="20"/>
      <c r="J156" s="21">
        <f>E191*'[2]C&amp;I composn'!$E$13</f>
        <v>17.431344712941268</v>
      </c>
      <c r="K156" s="21"/>
      <c r="L156" s="22"/>
      <c r="M156" s="2"/>
      <c r="N156" s="23"/>
      <c r="O156" s="19"/>
      <c r="P156" s="19"/>
      <c r="Q156" s="19"/>
      <c r="R156" s="33"/>
      <c r="T156" s="57"/>
      <c r="U156" s="2"/>
      <c r="V156" s="2"/>
      <c r="W156" s="199"/>
      <c r="X156" s="273"/>
      <c r="Y156" s="2"/>
      <c r="Z156" s="2"/>
      <c r="AA156" s="274"/>
      <c r="AB156" s="724"/>
      <c r="AC156" s="21">
        <f>(U$191-Y$178)*SUMIF('[2]C&amp;I composn'!$B$71:$B$85,C156,'[2]C&amp;I composn'!$E$71:$E$85)</f>
        <v>110.50593396208114</v>
      </c>
      <c r="AD156" s="21"/>
      <c r="AE156" s="21"/>
      <c r="AF156" s="70"/>
      <c r="AG156" s="20"/>
      <c r="AH156" s="21"/>
      <c r="AI156" s="21"/>
      <c r="AJ156" s="22"/>
      <c r="AK156" s="29"/>
      <c r="AL156" s="19"/>
      <c r="AM156" s="57"/>
      <c r="AN156" s="2"/>
      <c r="AO156" s="2"/>
      <c r="AP156" s="63"/>
      <c r="AQ156" s="68"/>
      <c r="AR156" s="21"/>
      <c r="AS156" s="21"/>
      <c r="AT156" s="21"/>
      <c r="AU156" s="25"/>
      <c r="AV156" s="21"/>
      <c r="AW156" s="22"/>
      <c r="AX156" s="2"/>
      <c r="AY156" s="23"/>
      <c r="AZ156" s="19"/>
      <c r="BA156" s="19"/>
      <c r="BB156" s="19"/>
      <c r="BC156" s="24"/>
      <c r="BD156" s="30"/>
      <c r="BT156" s="106"/>
      <c r="BU156" s="106"/>
      <c r="BV156" s="106"/>
      <c r="BW156" s="106"/>
      <c r="BX156" s="106"/>
      <c r="BY156" s="106"/>
      <c r="BZ156" s="106"/>
    </row>
    <row r="157" spans="1:81" s="106" customFormat="1">
      <c r="A157" s="699"/>
      <c r="B157" s="107" t="s">
        <v>67</v>
      </c>
      <c r="C157" s="108"/>
      <c r="D157" s="109"/>
      <c r="E157" s="110"/>
      <c r="F157" s="110"/>
      <c r="G157" s="111"/>
      <c r="H157" s="110"/>
      <c r="I157" s="112">
        <f>D$144*'[2]Lfill en &amp; composn'!B$134</f>
        <v>83214.975419570284</v>
      </c>
      <c r="J157" s="113">
        <f>SUM(J154:J156)</f>
        <v>89760.017467641868</v>
      </c>
      <c r="K157" s="113">
        <f>F191*'[2]Lfill en &amp; composn'!C$134</f>
        <v>70473.706500462184</v>
      </c>
      <c r="L157" s="114">
        <f>SUM(I157:K157)</f>
        <v>243448.69938767434</v>
      </c>
      <c r="M157" s="110"/>
      <c r="N157" s="112">
        <f>I157-AU157</f>
        <v>83214.975419570284</v>
      </c>
      <c r="O157" s="113">
        <f>J157-AV157</f>
        <v>89760.017467641868</v>
      </c>
      <c r="P157" s="113">
        <f>K157-AW157</f>
        <v>70473.706500462184</v>
      </c>
      <c r="Q157" s="114">
        <f>SUM(N157:P157)</f>
        <v>243448.69938767434</v>
      </c>
      <c r="R157" s="115">
        <f>Q157/[2]Popn!$C$40*1000</f>
        <v>35.487416606155179</v>
      </c>
      <c r="T157" s="109"/>
      <c r="U157" s="110"/>
      <c r="V157" s="110"/>
      <c r="W157" s="203"/>
      <c r="X157" s="275"/>
      <c r="Y157" s="110"/>
      <c r="Z157" s="110"/>
      <c r="AA157" s="276"/>
      <c r="AB157" s="113">
        <f>SUM(AB154:AB156)</f>
        <v>23066.780367530955</v>
      </c>
      <c r="AC157" s="113">
        <f>SUM(AC154:AC156)</f>
        <v>399436.34388577484</v>
      </c>
      <c r="AD157" s="113">
        <f>(V191-Z178)*[2]NSW!$Z$123</f>
        <v>223550.52801757629</v>
      </c>
      <c r="AE157" s="113"/>
      <c r="AF157" s="117"/>
      <c r="AG157" s="112"/>
      <c r="AH157" s="113"/>
      <c r="AI157" s="113"/>
      <c r="AJ157" s="114">
        <f>SUM(AB157:AD157)</f>
        <v>646053.65227088204</v>
      </c>
      <c r="AK157" s="115">
        <f>AJ157/[2]Popn!$C$40*1000</f>
        <v>94.174974710198327</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R157" s="6"/>
      <c r="BS157" s="6"/>
      <c r="BT157" s="6"/>
      <c r="BU157" s="6"/>
      <c r="BV157" s="6"/>
      <c r="BW157" s="6"/>
      <c r="BX157" s="6"/>
      <c r="BY157" s="6"/>
      <c r="BZ157" s="6"/>
      <c r="CA157" s="6"/>
      <c r="CB157" s="6"/>
      <c r="CC157" s="6"/>
    </row>
    <row r="158" spans="1:81">
      <c r="A158" s="699"/>
      <c r="B158" s="23" t="s">
        <v>2</v>
      </c>
      <c r="C158" s="17" t="s">
        <v>22</v>
      </c>
      <c r="D158" s="57"/>
      <c r="E158" s="2"/>
      <c r="F158" s="2"/>
      <c r="G158" s="63"/>
      <c r="H158" s="2"/>
      <c r="I158" s="20"/>
      <c r="J158" s="21">
        <f>E191*'[2]C&amp;I composn'!$E$14</f>
        <v>749274.41923872475</v>
      </c>
      <c r="K158" s="21"/>
      <c r="L158" s="22"/>
      <c r="M158" s="2"/>
      <c r="N158" s="20"/>
      <c r="O158" s="21"/>
      <c r="P158" s="21"/>
      <c r="Q158" s="21"/>
      <c r="R158" s="34"/>
      <c r="T158" s="57"/>
      <c r="U158" s="2"/>
      <c r="V158" s="2"/>
      <c r="W158" s="199"/>
      <c r="X158" s="273"/>
      <c r="Y158" s="2"/>
      <c r="Z158" s="2"/>
      <c r="AA158" s="274"/>
      <c r="AB158" s="21"/>
      <c r="AC158" s="21">
        <f>(U$191-Y$178)*SUMIF('[2]C&amp;I composn'!$B$71:$B$85,C158,'[2]C&amp;I composn'!$E$71:$E$85)</f>
        <v>186271.99816888259</v>
      </c>
      <c r="AD158" s="21"/>
      <c r="AE158" s="21"/>
      <c r="AF158" s="70"/>
      <c r="AG158" s="20"/>
      <c r="AH158" s="21"/>
      <c r="AI158" s="21"/>
      <c r="AJ158" s="22"/>
      <c r="AK158" s="29"/>
      <c r="AL158" s="19"/>
      <c r="AM158" s="57"/>
      <c r="AN158" s="2"/>
      <c r="AO158" s="2"/>
      <c r="AP158" s="63"/>
      <c r="AQ158" s="70"/>
      <c r="AR158" s="21">
        <f>L163*'[2]Lfill en &amp; composn'!$C$82/SUM('[2]Lfill en &amp; composn'!$C$82,'[2]Lfill en &amp; composn'!$C$84:$C$85,'[2]Lfill en &amp; composn'!$C$87:$C$88)*'[2]Lfill en &amp; composn'!$D$16</f>
        <v>190339.99266944241</v>
      </c>
      <c r="AS158" s="35">
        <f>AR158/SUM($AR$148:$AR$190)</f>
        <v>0.35891939590747329</v>
      </c>
      <c r="AT158" s="21">
        <f>AS158*'[2]Lfill en &amp; composn'!$C$60/'[2]Lfill en &amp; composn'!$B$16</f>
        <v>194746.2179059918</v>
      </c>
      <c r="AU158" s="25"/>
      <c r="AV158" s="21"/>
      <c r="AW158" s="22"/>
      <c r="AX158" s="82"/>
      <c r="AY158" s="20"/>
      <c r="AZ158" s="21"/>
      <c r="BA158" s="21"/>
      <c r="BB158" s="21"/>
      <c r="BC158" s="29"/>
      <c r="BD158" s="30"/>
    </row>
    <row r="159" spans="1:81">
      <c r="A159" s="699"/>
      <c r="B159" s="23"/>
      <c r="C159" s="17" t="s">
        <v>23</v>
      </c>
      <c r="D159" s="57"/>
      <c r="E159" s="2"/>
      <c r="F159" s="2"/>
      <c r="G159" s="63"/>
      <c r="H159" s="2"/>
      <c r="I159" s="20"/>
      <c r="J159" s="21">
        <f>E191*'[2]C&amp;I composn'!$E$15</f>
        <v>27766.553576301943</v>
      </c>
      <c r="K159" s="21"/>
      <c r="L159" s="22"/>
      <c r="M159" s="2"/>
      <c r="N159" s="20"/>
      <c r="O159" s="21"/>
      <c r="P159" s="21"/>
      <c r="Q159" s="21"/>
      <c r="R159" s="34"/>
      <c r="T159" s="57"/>
      <c r="U159" s="2"/>
      <c r="V159" s="2"/>
      <c r="W159" s="199"/>
      <c r="X159" s="273"/>
      <c r="Y159" s="2"/>
      <c r="Z159" s="2"/>
      <c r="AA159" s="274"/>
      <c r="AB159" s="21"/>
      <c r="AC159" s="21">
        <f>(U$191-Y$178)*SUMIF('[2]C&amp;I composn'!$B$71:$B$85,C159,'[2]C&amp;I composn'!$E$71:$E$85)</f>
        <v>0</v>
      </c>
      <c r="AD159" s="21">
        <f>(V191-Z178)*[2]NSW!$Z$125</f>
        <v>31654.581067517003</v>
      </c>
      <c r="AE159" s="21"/>
      <c r="AF159" s="70"/>
      <c r="AG159" s="20"/>
      <c r="AH159" s="21"/>
      <c r="AI159" s="21"/>
      <c r="AJ159" s="22"/>
      <c r="AK159" s="29"/>
      <c r="AL159" s="19"/>
      <c r="AM159" s="57"/>
      <c r="AN159" s="2"/>
      <c r="AO159" s="2"/>
      <c r="AP159" s="63"/>
      <c r="AQ159" s="68"/>
      <c r="AR159" s="21">
        <f>L163*'[2]Lfill en &amp; composn'!$C$84/SUM('[2]Lfill en &amp; composn'!$C$82,'[2]Lfill en &amp; composn'!$C$84:$C$85,'[2]Lfill en &amp; composn'!$C$87:$C$88)*'[2]Lfill en &amp; composn'!$D$18</f>
        <v>52392.737993697854</v>
      </c>
      <c r="AS159" s="35">
        <f>AR159/SUM($AR$148:$AR$190)</f>
        <v>9.879568453748036E-2</v>
      </c>
      <c r="AT159" s="21">
        <f>AS159*'[2]Lfill en &amp; composn'!$C$60/'[2]Lfill en &amp; composn'!$B$18</f>
        <v>40204.192351730111</v>
      </c>
      <c r="AU159" s="25"/>
      <c r="AV159" s="21"/>
      <c r="AW159" s="22"/>
      <c r="AX159" s="2"/>
      <c r="AY159" s="20"/>
      <c r="AZ159" s="21"/>
      <c r="BA159" s="21"/>
      <c r="BB159" s="21"/>
      <c r="BC159" s="29"/>
      <c r="BD159" s="36"/>
    </row>
    <row r="160" spans="1:81">
      <c r="A160" s="699"/>
      <c r="B160" s="23"/>
      <c r="C160" s="17" t="s">
        <v>24</v>
      </c>
      <c r="D160" s="57"/>
      <c r="E160" s="2"/>
      <c r="F160" s="2"/>
      <c r="G160" s="63"/>
      <c r="H160" s="2"/>
      <c r="I160" s="20"/>
      <c r="J160" s="21">
        <f>E191*'[2]C&amp;I composn'!$E$16</f>
        <v>248841.02960751619</v>
      </c>
      <c r="K160" s="21"/>
      <c r="L160" s="22"/>
      <c r="M160" s="2"/>
      <c r="N160" s="20"/>
      <c r="O160" s="21"/>
      <c r="P160" s="21"/>
      <c r="Q160" s="21"/>
      <c r="R160" s="34"/>
      <c r="T160" s="57"/>
      <c r="U160" s="2"/>
      <c r="V160" s="2"/>
      <c r="W160" s="199"/>
      <c r="X160" s="273"/>
      <c r="Y160" s="2"/>
      <c r="Z160" s="2"/>
      <c r="AA160" s="274"/>
      <c r="AB160" s="21"/>
      <c r="AC160" s="21">
        <f>(U$191-Y$178)*SUMIF('[2]C&amp;I composn'!$B$71:$B$85,C160,'[2]C&amp;I composn'!$E$71:$E$85)</f>
        <v>124191.98550750138</v>
      </c>
      <c r="AD160" s="21">
        <f>(V191-Z178)*[2]NSW!$Z$124</f>
        <v>129453.06287312922</v>
      </c>
      <c r="AE160" s="21"/>
      <c r="AF160" s="70"/>
      <c r="AG160" s="20"/>
      <c r="AH160" s="21"/>
      <c r="AI160" s="21"/>
      <c r="AJ160" s="22"/>
      <c r="AK160" s="29"/>
      <c r="AL160" s="19"/>
      <c r="AM160" s="57"/>
      <c r="AN160" s="2"/>
      <c r="AO160" s="2"/>
      <c r="AP160" s="63"/>
      <c r="AQ160" s="70"/>
      <c r="AR160" s="21">
        <f>L163*'[2]Lfill en &amp; composn'!$C$85/SUM('[2]Lfill en &amp; composn'!$C$82,'[2]Lfill en &amp; composn'!$C$84:$C$85,'[2]Lfill en &amp; composn'!$C$87:$C$88)*'[2]Lfill en &amp; composn'!$D$19</f>
        <v>53958.995829962485</v>
      </c>
      <c r="AS160" s="35">
        <f>AR160/SUM($AR$148:$AR$190)</f>
        <v>0.10174913803163771</v>
      </c>
      <c r="AT160" s="21">
        <f>AS160*'[2]Lfill en &amp; composn'!$C$60/'[2]Lfill en &amp; composn'!$B$19</f>
        <v>19258.641387009855</v>
      </c>
      <c r="AU160" s="25"/>
      <c r="AV160" s="21"/>
      <c r="AW160" s="22"/>
      <c r="AX160" s="2"/>
      <c r="AY160" s="20"/>
      <c r="AZ160" s="21"/>
      <c r="BA160" s="21"/>
      <c r="BB160" s="21"/>
      <c r="BC160" s="29"/>
    </row>
    <row r="161" spans="1:81">
      <c r="A161" s="699"/>
      <c r="B161" s="23"/>
      <c r="C161" s="17" t="s">
        <v>25</v>
      </c>
      <c r="D161" s="57"/>
      <c r="E161" s="2"/>
      <c r="F161" s="2"/>
      <c r="G161" s="63"/>
      <c r="H161" s="2"/>
      <c r="I161" s="20"/>
      <c r="J161" s="21">
        <f>E191*'[2]C&amp;I composn'!$E$17</f>
        <v>219728.31885325853</v>
      </c>
      <c r="K161" s="21"/>
      <c r="L161" s="22"/>
      <c r="M161" s="2"/>
      <c r="N161" s="20"/>
      <c r="O161" s="21"/>
      <c r="P161" s="21"/>
      <c r="Q161" s="21"/>
      <c r="R161" s="34"/>
      <c r="T161" s="57"/>
      <c r="U161" s="2"/>
      <c r="V161" s="2"/>
      <c r="W161" s="199"/>
      <c r="X161" s="273"/>
      <c r="Y161" s="2"/>
      <c r="Z161" s="2"/>
      <c r="AA161" s="274"/>
      <c r="AB161" s="21"/>
      <c r="AC161" s="21">
        <f>(U$191-Y$178)*SUMIF('[2]C&amp;I composn'!$B$71:$B$85,C161,'[2]C&amp;I composn'!$E$71:$E$85)</f>
        <v>96732.971917441086</v>
      </c>
      <c r="AD161" s="21"/>
      <c r="AE161" s="21"/>
      <c r="AF161" s="70"/>
      <c r="AG161" s="20"/>
      <c r="AH161" s="21"/>
      <c r="AI161" s="21"/>
      <c r="AJ161" s="22"/>
      <c r="AK161" s="29"/>
      <c r="AL161" s="19"/>
      <c r="AM161" s="57"/>
      <c r="AN161" s="2"/>
      <c r="AO161" s="2"/>
      <c r="AP161" s="63"/>
      <c r="AQ161" s="68"/>
      <c r="AR161" s="21">
        <f>L163*'[2]Lfill en &amp; composn'!$C$93/SUM('[2]Lfill en &amp; composn'!$C$82,'[2]Lfill en &amp; composn'!$C$84:$C$85,'[2]Lfill en &amp; composn'!$C$87:$C$88)*'[2]Lfill en &amp; composn'!$D$24</f>
        <v>11306.965167677907</v>
      </c>
      <c r="AS161" s="35">
        <f>AR161/SUM($AR$148:$AR$190)</f>
        <v>2.1321263338376303E-2</v>
      </c>
      <c r="AT161" s="21">
        <f>AS161*'[2]Lfill en &amp; composn'!$C$60/'[2]Lfill en &amp; composn'!$B$24</f>
        <v>7230.4454765327046</v>
      </c>
      <c r="AU161" s="25"/>
      <c r="AV161" s="21"/>
      <c r="AW161" s="22"/>
      <c r="AX161" s="83"/>
      <c r="AY161" s="20"/>
      <c r="AZ161" s="21"/>
      <c r="BA161" s="21"/>
      <c r="BB161" s="21"/>
      <c r="BC161" s="29"/>
      <c r="BR161" s="106"/>
      <c r="BS161" s="106"/>
      <c r="CA161" s="106"/>
      <c r="CB161" s="106"/>
      <c r="CC161" s="106"/>
    </row>
    <row r="162" spans="1:81">
      <c r="A162" s="699"/>
      <c r="B162" s="23"/>
      <c r="C162" s="17" t="s">
        <v>0</v>
      </c>
      <c r="D162" s="57"/>
      <c r="E162" s="2"/>
      <c r="F162" s="2"/>
      <c r="G162" s="63"/>
      <c r="H162" s="198">
        <f>[2]Biosolids!$C$201</f>
        <v>15881.519268326518</v>
      </c>
      <c r="I162" s="112"/>
      <c r="J162" s="113"/>
      <c r="K162" s="113"/>
      <c r="L162" s="22"/>
      <c r="M162" s="2"/>
      <c r="N162" s="23"/>
      <c r="O162" s="19"/>
      <c r="P162" s="19"/>
      <c r="Q162" s="19"/>
      <c r="R162" s="34"/>
      <c r="T162" s="57"/>
      <c r="U162" s="2"/>
      <c r="V162" s="2"/>
      <c r="W162" s="199"/>
      <c r="X162" s="277"/>
      <c r="Y162" s="198"/>
      <c r="Z162" s="198"/>
      <c r="AA162" s="278">
        <f>[2]Biosolids!$C$200</f>
        <v>195500</v>
      </c>
      <c r="AB162" s="21">
        <f>AA162</f>
        <v>195500</v>
      </c>
      <c r="AC162" s="21"/>
      <c r="AD162" s="21"/>
      <c r="AE162" s="21"/>
      <c r="AF162" s="68" t="s">
        <v>193</v>
      </c>
      <c r="AG162" s="20"/>
      <c r="AH162" s="21"/>
      <c r="AI162" s="21"/>
      <c r="AJ162" s="22"/>
      <c r="AK162" s="29"/>
      <c r="AL162" s="19"/>
      <c r="AM162" s="57"/>
      <c r="AN162" s="2"/>
      <c r="AO162" s="2"/>
      <c r="AP162" s="63"/>
      <c r="AQ162" s="68"/>
      <c r="AR162" s="21">
        <f>L163*'[2]Lfill en &amp; composn'!$C$87/SUM('[2]Lfill en &amp; composn'!$C$82,'[2]Lfill en &amp; composn'!$C$84:$C$85,'[2]Lfill en &amp; composn'!$C$87:$C$88)*'[2]Lfill en &amp; composn'!$D$21</f>
        <v>1196.8057889175202</v>
      </c>
      <c r="AS162" s="35">
        <f>AR162/SUM($AR$148:$AR$190)</f>
        <v>2.256786946098298E-3</v>
      </c>
      <c r="AT162" s="21">
        <f>AS162*'[2]Lfill en &amp; composn'!$C$60/'[2]Lfill en &amp; composn'!$B$21</f>
        <v>3673.5327824319379</v>
      </c>
      <c r="AU162" s="25"/>
      <c r="AV162" s="21"/>
      <c r="AW162" s="22"/>
      <c r="AX162" s="2"/>
      <c r="AY162" s="23"/>
      <c r="AZ162" s="19"/>
      <c r="BA162" s="19"/>
      <c r="BB162" s="21"/>
      <c r="BC162" s="24"/>
      <c r="BT162" s="106"/>
      <c r="BU162" s="106"/>
      <c r="BV162" s="106"/>
      <c r="BW162" s="106"/>
      <c r="BX162" s="106"/>
      <c r="BY162" s="106"/>
      <c r="BZ162" s="106"/>
    </row>
    <row r="163" spans="1:81" s="106" customFormat="1">
      <c r="A163" s="699"/>
      <c r="B163" s="107" t="s">
        <v>67</v>
      </c>
      <c r="C163" s="108"/>
      <c r="D163" s="109"/>
      <c r="E163" s="110"/>
      <c r="F163" s="110"/>
      <c r="G163" s="111"/>
      <c r="H163" s="110"/>
      <c r="I163" s="112">
        <f>D$144*'[2]Lfill en &amp; composn'!B$135</f>
        <v>1347242.5000000002</v>
      </c>
      <c r="J163" s="113">
        <f>SUM(J158:J162)</f>
        <v>1245610.3212758014</v>
      </c>
      <c r="K163" s="113">
        <f>F191*'[2]Lfill en &amp; composn'!C$135</f>
        <v>162840</v>
      </c>
      <c r="L163" s="114">
        <f>SUM(I163:K163)</f>
        <v>2755692.8212758014</v>
      </c>
      <c r="M163" s="110"/>
      <c r="N163" s="112">
        <f>I163-AU163</f>
        <v>1217630.252062775</v>
      </c>
      <c r="O163" s="113">
        <f>J163-AV163</f>
        <v>1125775.6561770046</v>
      </c>
      <c r="P163" s="113">
        <f>K163-AW163</f>
        <v>147173.88313232566</v>
      </c>
      <c r="Q163" s="114">
        <f>SUM(N163:P163)</f>
        <v>2490579.791372105</v>
      </c>
      <c r="R163" s="115">
        <f>Q163/[2]Popn!$C$40*1000</f>
        <v>363.05079004159097</v>
      </c>
      <c r="T163" s="109"/>
      <c r="U163" s="110"/>
      <c r="V163" s="110"/>
      <c r="W163" s="203"/>
      <c r="X163" s="275"/>
      <c r="Y163" s="110"/>
      <c r="Z163" s="110"/>
      <c r="AA163" s="276"/>
      <c r="AB163" s="113">
        <f>T191*[2]NSW!$L$157</f>
        <v>524221.56128205586</v>
      </c>
      <c r="AC163" s="113">
        <f>SUM(AC158:AC162)</f>
        <v>407196.95559382509</v>
      </c>
      <c r="AD163" s="113">
        <f>SUM(AD158:AD162)</f>
        <v>161107.64394064623</v>
      </c>
      <c r="AE163" s="113"/>
      <c r="AF163" s="117"/>
      <c r="AG163" s="112"/>
      <c r="AH163" s="113"/>
      <c r="AI163" s="113"/>
      <c r="AJ163" s="114">
        <f>SUM(AB163:AD163)</f>
        <v>1092526.1608165272</v>
      </c>
      <c r="AK163" s="115">
        <f>AJ163/[2]Popn!$C$40*1000</f>
        <v>159.25708832923158</v>
      </c>
      <c r="AL163" s="119"/>
      <c r="AM163" s="109"/>
      <c r="AN163" s="110"/>
      <c r="AO163" s="110"/>
      <c r="AP163" s="111"/>
      <c r="AQ163" s="116"/>
      <c r="AR163" s="113"/>
      <c r="AS163" s="113"/>
      <c r="AT163" s="113">
        <f>SUM(AT158:AT162)</f>
        <v>265113.02990369638</v>
      </c>
      <c r="AU163" s="120">
        <f>$AT163*I163/SUM($I163:$K163)</f>
        <v>129612.2479372252</v>
      </c>
      <c r="AV163" s="113">
        <f>$AT163*J163/SUM($I163:$K163)</f>
        <v>119834.66509879688</v>
      </c>
      <c r="AW163" s="114">
        <f>$AT163*K163/SUM($I163:$K163)</f>
        <v>15666.11686767434</v>
      </c>
      <c r="AX163" s="110"/>
      <c r="AY163" s="241">
        <f>AU163</f>
        <v>129612.2479372252</v>
      </c>
      <c r="AZ163" s="242">
        <f>AV163</f>
        <v>119834.66509879688</v>
      </c>
      <c r="BA163" s="242">
        <f>AW163</f>
        <v>15666.11686767434</v>
      </c>
      <c r="BB163" s="243">
        <f>AT163+AP163</f>
        <v>265113.02990369638</v>
      </c>
      <c r="BC163" s="118">
        <f>BB163/[2]Popn!$C$40*1000</f>
        <v>38.645417139529322</v>
      </c>
      <c r="BD163" s="122"/>
      <c r="BG163" s="146"/>
      <c r="BH163" s="138" t="s">
        <v>72</v>
      </c>
      <c r="BI163" s="138" t="s">
        <v>68</v>
      </c>
      <c r="BJ163" s="138" t="s">
        <v>69</v>
      </c>
      <c r="BK163" s="138" t="s">
        <v>73</v>
      </c>
      <c r="BL163" s="138" t="s">
        <v>78</v>
      </c>
      <c r="BM163" s="6"/>
      <c r="BN163" s="6"/>
      <c r="BO163" s="6"/>
      <c r="BR163" s="6"/>
      <c r="BS163" s="6"/>
      <c r="BT163" s="6"/>
      <c r="BU163" s="6"/>
      <c r="BV163" s="6"/>
      <c r="BW163" s="6"/>
      <c r="BX163" s="6"/>
      <c r="BY163" s="6"/>
      <c r="BZ163" s="6"/>
      <c r="CA163" s="6"/>
      <c r="CB163" s="6"/>
      <c r="CC163" s="6"/>
    </row>
    <row r="164" spans="1:81">
      <c r="A164" s="699"/>
      <c r="B164" s="23" t="s">
        <v>5</v>
      </c>
      <c r="C164" s="17" t="s">
        <v>26</v>
      </c>
      <c r="D164" s="57"/>
      <c r="E164" s="2"/>
      <c r="F164" s="2"/>
      <c r="G164" s="63"/>
      <c r="H164" s="2"/>
      <c r="I164" s="20"/>
      <c r="J164" s="21">
        <f>E191*'[2]C&amp;I composn'!$E$18</f>
        <v>401489.91895014426</v>
      </c>
      <c r="K164" s="21"/>
      <c r="L164" s="22"/>
      <c r="M164" s="2"/>
      <c r="N164" s="23"/>
      <c r="O164" s="19"/>
      <c r="P164" s="19"/>
      <c r="Q164" s="19"/>
      <c r="R164" s="33"/>
      <c r="T164" s="57"/>
      <c r="U164" s="2"/>
      <c r="V164" s="2"/>
      <c r="W164" s="199"/>
      <c r="X164" s="273"/>
      <c r="Y164" s="2"/>
      <c r="Z164" s="2"/>
      <c r="AA164" s="274"/>
      <c r="AB164" s="21"/>
      <c r="AC164" s="21">
        <f>(U$191-Y$178)*SUMIF('[2]C&amp;I composn'!$B$71:$B$85,C164,'[2]C&amp;I composn'!$E$71:$E$85)</f>
        <v>820562.45192397153</v>
      </c>
      <c r="AD164" s="21"/>
      <c r="AE164" s="21"/>
      <c r="AF164" s="70"/>
      <c r="AG164" s="20"/>
      <c r="AH164" s="21"/>
      <c r="AI164" s="21"/>
      <c r="AJ164" s="22"/>
      <c r="AK164" s="29"/>
      <c r="AL164" s="19"/>
      <c r="AM164" s="57"/>
      <c r="AN164" s="2"/>
      <c r="AO164" s="2"/>
      <c r="AP164" s="63"/>
      <c r="AQ164" s="68"/>
      <c r="AR164" s="21"/>
      <c r="AS164" s="21"/>
      <c r="AT164" s="21"/>
      <c r="AU164" s="240"/>
      <c r="AV164" s="19"/>
      <c r="AW164" s="195"/>
      <c r="AX164" s="2"/>
      <c r="AY164" s="238"/>
      <c r="BB164" s="19"/>
      <c r="BC164" s="24"/>
      <c r="BG164" s="147" t="s">
        <v>3</v>
      </c>
      <c r="BH164" s="52">
        <f>Q153/1000</f>
        <v>1373.721066467366</v>
      </c>
      <c r="BI164" s="52">
        <f>AJ153/1000</f>
        <v>3922.5772255347433</v>
      </c>
      <c r="BJ164" s="52">
        <f>BB153/1000</f>
        <v>0</v>
      </c>
      <c r="BK164" s="137">
        <f>SUM(BI164:BJ164)/BL164</f>
        <v>0.74062619008037944</v>
      </c>
      <c r="BL164" s="52">
        <f>SUM(BH164:BJ164)</f>
        <v>5296.2982920021095</v>
      </c>
    </row>
    <row r="165" spans="1:81">
      <c r="A165" s="699"/>
      <c r="B165" s="23"/>
      <c r="C165" s="17" t="s">
        <v>27</v>
      </c>
      <c r="D165" s="57"/>
      <c r="E165" s="2"/>
      <c r="F165" s="2"/>
      <c r="G165" s="63"/>
      <c r="H165" s="2"/>
      <c r="I165" s="20"/>
      <c r="J165" s="725">
        <f>E191*'[2]C&amp;I composn'!$E$20</f>
        <v>131991.33320362371</v>
      </c>
      <c r="K165" s="21"/>
      <c r="L165" s="22"/>
      <c r="M165" s="2"/>
      <c r="N165" s="23"/>
      <c r="O165" s="19"/>
      <c r="P165" s="19"/>
      <c r="Q165" s="19"/>
      <c r="R165" s="33"/>
      <c r="T165" s="57"/>
      <c r="U165" s="2"/>
      <c r="V165" s="2"/>
      <c r="W165" s="199"/>
      <c r="X165" s="273"/>
      <c r="Y165" s="2"/>
      <c r="Z165" s="2"/>
      <c r="AA165" s="274"/>
      <c r="AB165" s="21"/>
      <c r="AC165" s="21"/>
      <c r="AD165" s="21"/>
      <c r="AE165" s="21"/>
      <c r="AF165" s="70"/>
      <c r="AG165" s="20"/>
      <c r="AH165" s="21"/>
      <c r="AI165" s="21"/>
      <c r="AJ165" s="22"/>
      <c r="AK165" s="29"/>
      <c r="AL165" s="19"/>
      <c r="AM165" s="57"/>
      <c r="AN165" s="2"/>
      <c r="AO165" s="2"/>
      <c r="AP165" s="63"/>
      <c r="AQ165" s="68"/>
      <c r="AR165" s="21"/>
      <c r="AS165" s="21"/>
      <c r="AT165" s="21"/>
      <c r="AU165" s="240"/>
      <c r="AV165" s="19"/>
      <c r="AW165" s="195"/>
      <c r="AX165" s="2"/>
      <c r="AY165" s="238"/>
      <c r="BB165" s="19"/>
      <c r="BC165" s="24"/>
      <c r="BG165" s="147" t="s">
        <v>4</v>
      </c>
      <c r="BH165" s="52">
        <f>Q157/1000</f>
        <v>243.44869938767434</v>
      </c>
      <c r="BI165" s="52">
        <f>AJ157/1000</f>
        <v>646.05365227088203</v>
      </c>
      <c r="BJ165" s="52">
        <f>BB157/1000</f>
        <v>0</v>
      </c>
      <c r="BK165" s="137">
        <f t="shared" ref="BK165:BK172" si="48">SUM(BI165:BJ165)/BL165</f>
        <v>0.72630909976376956</v>
      </c>
      <c r="BL165" s="52">
        <f t="shared" ref="BL165:BL172" si="49">SUM(BH165:BJ165)</f>
        <v>889.50235165855634</v>
      </c>
    </row>
    <row r="166" spans="1:81">
      <c r="A166" s="699"/>
      <c r="B166" s="23"/>
      <c r="C166" s="17" t="s">
        <v>28</v>
      </c>
      <c r="D166" s="57"/>
      <c r="E166" s="2"/>
      <c r="F166" s="2"/>
      <c r="G166" s="63"/>
      <c r="H166" s="2"/>
      <c r="I166" s="20"/>
      <c r="J166" s="725"/>
      <c r="K166" s="21"/>
      <c r="L166" s="22"/>
      <c r="M166" s="2"/>
      <c r="N166" s="23"/>
      <c r="O166" s="19"/>
      <c r="P166" s="19"/>
      <c r="Q166" s="19"/>
      <c r="R166" s="33"/>
      <c r="T166" s="57"/>
      <c r="U166" s="2"/>
      <c r="V166" s="2"/>
      <c r="W166" s="199"/>
      <c r="X166" s="273"/>
      <c r="Y166" s="2"/>
      <c r="Z166" s="2"/>
      <c r="AA166" s="274"/>
      <c r="AB166" s="21"/>
      <c r="AC166" s="21">
        <f>(U$191-Y$178)*SUMIF('[2]C&amp;I composn'!$B$71:$B$85,C166,'[2]C&amp;I composn'!$E$71:$E$85)</f>
        <v>126204.74471213804</v>
      </c>
      <c r="AD166" s="21"/>
      <c r="AE166" s="21"/>
      <c r="AF166" s="70"/>
      <c r="AG166" s="20"/>
      <c r="AH166" s="21"/>
      <c r="AI166" s="21"/>
      <c r="AJ166" s="22"/>
      <c r="AK166" s="29"/>
      <c r="AL166" s="19"/>
      <c r="AM166" s="57"/>
      <c r="AN166" s="2"/>
      <c r="AO166" s="2"/>
      <c r="AP166" s="63"/>
      <c r="AQ166" s="68"/>
      <c r="AR166" s="21"/>
      <c r="AS166" s="21"/>
      <c r="AT166" s="21"/>
      <c r="AU166" s="240"/>
      <c r="AV166" s="19"/>
      <c r="AW166" s="195"/>
      <c r="AX166" s="2"/>
      <c r="AY166" s="238"/>
      <c r="BB166" s="19"/>
      <c r="BC166" s="24"/>
      <c r="BG166" s="147" t="s">
        <v>2</v>
      </c>
      <c r="BH166" s="52">
        <f>Q163/1000</f>
        <v>2490.5797913721049</v>
      </c>
      <c r="BI166" s="52">
        <f>AJ163/1000</f>
        <v>1092.5261608165272</v>
      </c>
      <c r="BJ166" s="52">
        <f>BB163/1000</f>
        <v>265.11302990369637</v>
      </c>
      <c r="BK166" s="137">
        <f t="shared" si="48"/>
        <v>0.35279676053727504</v>
      </c>
      <c r="BL166" s="52">
        <f t="shared" si="49"/>
        <v>3848.2189820923281</v>
      </c>
      <c r="BR166" s="106"/>
      <c r="BS166" s="106"/>
      <c r="CA166" s="106"/>
      <c r="CB166" s="106"/>
      <c r="CC166" s="106"/>
    </row>
    <row r="167" spans="1:81">
      <c r="A167" s="699"/>
      <c r="B167" s="23"/>
      <c r="C167" s="17" t="s">
        <v>29</v>
      </c>
      <c r="D167" s="57"/>
      <c r="E167" s="2"/>
      <c r="F167" s="2"/>
      <c r="G167" s="63"/>
      <c r="H167" s="2"/>
      <c r="I167" s="20"/>
      <c r="J167" s="21">
        <f>E191*'[2]C&amp;I composn'!$E$19</f>
        <v>197027.23131829896</v>
      </c>
      <c r="K167" s="21"/>
      <c r="L167" s="22"/>
      <c r="M167" s="2"/>
      <c r="N167" s="23"/>
      <c r="O167" s="19"/>
      <c r="P167" s="19"/>
      <c r="Q167" s="19"/>
      <c r="R167" s="33"/>
      <c r="T167" s="57"/>
      <c r="U167" s="2"/>
      <c r="V167" s="2"/>
      <c r="W167" s="199"/>
      <c r="X167" s="273"/>
      <c r="Y167" s="2"/>
      <c r="Z167" s="2"/>
      <c r="AA167" s="274"/>
      <c r="AB167" s="21"/>
      <c r="AC167" s="21">
        <f>(U$191-Y$178)*SUMIF('[2]C&amp;I composn'!$B$71:$B$85,C167,'[2]C&amp;I composn'!$E$71:$E$85)</f>
        <v>313660.48564968345</v>
      </c>
      <c r="AD167" s="21"/>
      <c r="AE167" s="21"/>
      <c r="AF167" s="70"/>
      <c r="AG167" s="20"/>
      <c r="AH167" s="21"/>
      <c r="AI167" s="21"/>
      <c r="AJ167" s="22"/>
      <c r="AK167" s="29"/>
      <c r="AL167" s="19"/>
      <c r="AM167" s="57"/>
      <c r="AN167" s="2"/>
      <c r="AO167" s="2"/>
      <c r="AP167" s="63"/>
      <c r="AQ167" s="68"/>
      <c r="AR167" s="21"/>
      <c r="AS167" s="21"/>
      <c r="AT167" s="21"/>
      <c r="AU167" s="240"/>
      <c r="AV167" s="19"/>
      <c r="AW167" s="195"/>
      <c r="AX167" s="2"/>
      <c r="AY167" s="238"/>
      <c r="BB167" s="19"/>
      <c r="BC167" s="24"/>
      <c r="BG167" s="147" t="s">
        <v>5</v>
      </c>
      <c r="BH167" s="52">
        <f>Q168/1000</f>
        <v>1018.7196675692068</v>
      </c>
      <c r="BI167" s="52">
        <f>AJ168/1000</f>
        <v>1884.2792422258347</v>
      </c>
      <c r="BJ167" s="52">
        <f>BB168/1000</f>
        <v>82.838815902860233</v>
      </c>
      <c r="BK167" s="137">
        <f t="shared" si="48"/>
        <v>0.65881613096334823</v>
      </c>
      <c r="BL167" s="52">
        <f t="shared" si="49"/>
        <v>2985.837725697902</v>
      </c>
      <c r="BT167" s="106"/>
      <c r="BU167" s="106"/>
      <c r="BV167" s="106"/>
      <c r="BW167" s="106"/>
      <c r="BX167" s="106"/>
      <c r="BY167" s="106"/>
      <c r="BZ167" s="106"/>
    </row>
    <row r="168" spans="1:81" s="106" customFormat="1">
      <c r="A168" s="699"/>
      <c r="B168" s="107" t="s">
        <v>67</v>
      </c>
      <c r="C168" s="108"/>
      <c r="D168" s="109"/>
      <c r="E168" s="110"/>
      <c r="F168" s="110"/>
      <c r="G168" s="111"/>
      <c r="H168" s="110"/>
      <c r="I168" s="112">
        <f>D$144*'[2]Lfill en &amp; composn'!B$136</f>
        <v>309985</v>
      </c>
      <c r="J168" s="113">
        <f>SUM(J164:J167)</f>
        <v>730508.48347206693</v>
      </c>
      <c r="K168" s="113">
        <f>F191*'[2]Lfill en &amp; composn'!C$136</f>
        <v>61065</v>
      </c>
      <c r="L168" s="114">
        <f>SUM(I168:K168)</f>
        <v>1101558.4834720669</v>
      </c>
      <c r="M168" s="110"/>
      <c r="N168" s="112">
        <f>I168-AU168</f>
        <v>286673.67270059994</v>
      </c>
      <c r="O168" s="113">
        <f>J168-AV168</f>
        <v>675573.17255958496</v>
      </c>
      <c r="P168" s="113">
        <f>K168-AW168</f>
        <v>56472.822309021838</v>
      </c>
      <c r="Q168" s="114">
        <f>SUM(N168:P168)</f>
        <v>1018719.6675692068</v>
      </c>
      <c r="R168" s="115">
        <f>Q168/[2]Popn!$C$40*1000</f>
        <v>148.4983462176701</v>
      </c>
      <c r="T168" s="109"/>
      <c r="U168" s="110"/>
      <c r="V168" s="110"/>
      <c r="W168" s="203"/>
      <c r="X168" s="275"/>
      <c r="Y168" s="110"/>
      <c r="Z168" s="110"/>
      <c r="AA168" s="276"/>
      <c r="AB168" s="113">
        <f>(T191-X178-AB163)*[2]NSW!$H$106</f>
        <v>623851.55994004162</v>
      </c>
      <c r="AC168" s="113">
        <f>SUM(AC164:AC167)</f>
        <v>1260427.6822857931</v>
      </c>
      <c r="AD168" s="113">
        <f>SUM(AD164:AD167)</f>
        <v>0</v>
      </c>
      <c r="AE168" s="113"/>
      <c r="AF168" s="117"/>
      <c r="AG168" s="112"/>
      <c r="AH168" s="113"/>
      <c r="AI168" s="113"/>
      <c r="AJ168" s="114">
        <f>SUM(AB168:AD168)</f>
        <v>1884279.2422258346</v>
      </c>
      <c r="AK168" s="115">
        <f>AJ168/[2]Popn!$C$40*1000</f>
        <v>274.67060879514435</v>
      </c>
      <c r="AL168" s="119"/>
      <c r="AM168" s="109"/>
      <c r="AN168" s="110"/>
      <c r="AO168" s="110"/>
      <c r="AP168" s="111"/>
      <c r="AQ168" s="117"/>
      <c r="AR168" s="113">
        <f>L168*'[2]Lfill en &amp; composn'!$D$17</f>
        <v>215905.46276052512</v>
      </c>
      <c r="AS168" s="123">
        <f>AR168/SUM($AR$148:$AR$190)</f>
        <v>0.40712756778188097</v>
      </c>
      <c r="AT168" s="113">
        <f>AS168*'[2]Lfill en &amp; composn'!$C$60/'[2]Lfill en &amp; composn'!$B$17</f>
        <v>82838.815902860239</v>
      </c>
      <c r="AU168" s="120">
        <f>$AT168*I168/SUM($I168:$K168)</f>
        <v>23311.327299400069</v>
      </c>
      <c r="AV168" s="113">
        <f>$AT168*J168/SUM($I168:$K168)</f>
        <v>54935.310912482011</v>
      </c>
      <c r="AW168" s="114">
        <f>$AT168*K168/SUM($I168:$K168)</f>
        <v>4592.1776909781602</v>
      </c>
      <c r="AX168" s="110"/>
      <c r="AY168" s="241">
        <f>AU168</f>
        <v>23311.327299400069</v>
      </c>
      <c r="AZ168" s="242">
        <f>AV168</f>
        <v>54935.310912482011</v>
      </c>
      <c r="BA168" s="242">
        <f>AW168</f>
        <v>4592.1776909781602</v>
      </c>
      <c r="BB168" s="114">
        <f>AT168+AP168</f>
        <v>82838.815902860239</v>
      </c>
      <c r="BC168" s="118">
        <f>BB168/[2]Popn!$C$40*1000</f>
        <v>12.07538006364158</v>
      </c>
      <c r="BD168" s="122"/>
      <c r="BG168" s="147" t="s">
        <v>6</v>
      </c>
      <c r="BH168" s="52">
        <f>Q178/1000</f>
        <v>725.80581381956472</v>
      </c>
      <c r="BI168" s="52">
        <f>AJ178/1000</f>
        <v>73.686000000000007</v>
      </c>
      <c r="BJ168" s="52">
        <f>BB178/1000</f>
        <v>0</v>
      </c>
      <c r="BK168" s="137">
        <f t="shared" si="48"/>
        <v>9.2166046889168032E-2</v>
      </c>
      <c r="BL168" s="52">
        <f t="shared" si="49"/>
        <v>799.49181381956475</v>
      </c>
      <c r="BM168" s="6"/>
      <c r="BN168" s="6"/>
      <c r="BO168" s="6"/>
      <c r="BR168" s="6"/>
      <c r="BS168" s="6"/>
      <c r="BT168" s="6"/>
      <c r="BU168" s="6"/>
      <c r="BV168" s="6"/>
      <c r="BW168" s="6"/>
      <c r="BX168" s="6"/>
      <c r="BY168" s="6"/>
      <c r="BZ168" s="6"/>
      <c r="CA168" s="6"/>
      <c r="CB168" s="6"/>
      <c r="CC168" s="6"/>
    </row>
    <row r="169" spans="1:81">
      <c r="A169" s="699"/>
      <c r="B169" s="23" t="s">
        <v>6</v>
      </c>
      <c r="C169" s="17" t="s">
        <v>30</v>
      </c>
      <c r="D169" s="57"/>
      <c r="E169" s="2"/>
      <c r="F169" s="2"/>
      <c r="G169" s="63"/>
      <c r="H169" s="2"/>
      <c r="I169" s="20"/>
      <c r="J169" s="21"/>
      <c r="K169" s="21"/>
      <c r="L169" s="22"/>
      <c r="M169" s="2"/>
      <c r="N169" s="23"/>
      <c r="O169" s="19"/>
      <c r="P169" s="19"/>
      <c r="Q169" s="19"/>
      <c r="R169" s="33"/>
      <c r="T169" s="57"/>
      <c r="U169" s="2"/>
      <c r="V169" s="2"/>
      <c r="W169" s="199"/>
      <c r="X169" s="273"/>
      <c r="Y169" s="2"/>
      <c r="Z169" s="2"/>
      <c r="AA169" s="274"/>
      <c r="AB169" s="21"/>
      <c r="AC169" s="21"/>
      <c r="AD169" s="21"/>
      <c r="AE169" s="21"/>
      <c r="AF169" s="70"/>
      <c r="AG169" s="20"/>
      <c r="AH169" s="21"/>
      <c r="AI169" s="21"/>
      <c r="AJ169" s="22"/>
      <c r="AK169" s="29"/>
      <c r="AL169" s="19"/>
      <c r="AM169" s="57"/>
      <c r="AN169" s="2"/>
      <c r="AO169" s="2"/>
      <c r="AP169" s="63"/>
      <c r="AQ169" s="68"/>
      <c r="AR169" s="21"/>
      <c r="AS169" s="21"/>
      <c r="AT169" s="21"/>
      <c r="AU169" s="240"/>
      <c r="AV169" s="19"/>
      <c r="AW169" s="195"/>
      <c r="AX169" s="2"/>
      <c r="AY169" s="238"/>
      <c r="BB169" s="19"/>
      <c r="BC169" s="24"/>
      <c r="BG169" s="147" t="s">
        <v>8</v>
      </c>
      <c r="BH169" s="52">
        <f>Q179/1000</f>
        <v>154.4031948704843</v>
      </c>
      <c r="BI169" s="52">
        <f>AJ179/1000</f>
        <v>357.79817087681084</v>
      </c>
      <c r="BJ169" s="52">
        <f>BB179/1000</f>
        <v>0</v>
      </c>
      <c r="BK169" s="137">
        <f t="shared" si="48"/>
        <v>0.69854981810676742</v>
      </c>
      <c r="BL169" s="52">
        <f t="shared" si="49"/>
        <v>512.20136574729509</v>
      </c>
    </row>
    <row r="170" spans="1:81">
      <c r="A170" s="699"/>
      <c r="B170" s="23"/>
      <c r="C170" s="17" t="s">
        <v>31</v>
      </c>
      <c r="D170" s="57"/>
      <c r="E170" s="2"/>
      <c r="F170" s="2"/>
      <c r="G170" s="63"/>
      <c r="H170" s="2"/>
      <c r="I170" s="20"/>
      <c r="J170" s="21"/>
      <c r="K170" s="21"/>
      <c r="L170" s="22"/>
      <c r="M170" s="2"/>
      <c r="N170" s="23"/>
      <c r="O170" s="19"/>
      <c r="P170" s="19"/>
      <c r="Q170" s="19"/>
      <c r="R170" s="33"/>
      <c r="T170" s="57"/>
      <c r="U170" s="2"/>
      <c r="V170" s="2"/>
      <c r="W170" s="199"/>
      <c r="X170" s="273"/>
      <c r="Y170" s="2"/>
      <c r="Z170" s="2"/>
      <c r="AA170" s="274"/>
      <c r="AB170" s="21"/>
      <c r="AC170" s="21"/>
      <c r="AD170" s="21"/>
      <c r="AE170" s="21"/>
      <c r="AF170" s="70"/>
      <c r="AG170" s="20"/>
      <c r="AH170" s="21"/>
      <c r="AI170" s="21"/>
      <c r="AJ170" s="22"/>
      <c r="AK170" s="29"/>
      <c r="AL170" s="19"/>
      <c r="AM170" s="57"/>
      <c r="AN170" s="2"/>
      <c r="AO170" s="2"/>
      <c r="AP170" s="63"/>
      <c r="AQ170" s="68"/>
      <c r="AR170" s="21"/>
      <c r="AS170" s="21"/>
      <c r="AT170" s="21"/>
      <c r="AU170" s="240"/>
      <c r="AV170" s="19"/>
      <c r="AW170" s="195"/>
      <c r="AX170" s="2"/>
      <c r="AY170" s="238"/>
      <c r="BB170" s="19"/>
      <c r="BC170" s="24"/>
      <c r="BG170" s="147" t="s">
        <v>7</v>
      </c>
      <c r="BH170" s="52">
        <f>Q182/1000</f>
        <v>130.2772806585379</v>
      </c>
      <c r="BI170" s="52">
        <f>AJ182/1000</f>
        <v>18.079116259432716</v>
      </c>
      <c r="BJ170" s="52">
        <f>BB182/1000</f>
        <v>2.5398820492412297</v>
      </c>
      <c r="BK170" s="137">
        <f t="shared" si="48"/>
        <v>0.13664351732062413</v>
      </c>
      <c r="BL170" s="52">
        <f t="shared" si="49"/>
        <v>150.89627896721186</v>
      </c>
      <c r="BR170" s="90"/>
      <c r="BS170" s="90"/>
      <c r="CA170" s="90"/>
      <c r="CB170" s="90"/>
      <c r="CC170" s="90"/>
    </row>
    <row r="171" spans="1:81">
      <c r="A171" s="699"/>
      <c r="B171" s="23"/>
      <c r="C171" s="17" t="s">
        <v>32</v>
      </c>
      <c r="D171" s="57"/>
      <c r="E171" s="2"/>
      <c r="F171" s="2"/>
      <c r="G171" s="63"/>
      <c r="H171" s="2"/>
      <c r="I171" s="20"/>
      <c r="J171" s="21"/>
      <c r="K171" s="21"/>
      <c r="L171" s="22"/>
      <c r="M171" s="2"/>
      <c r="N171" s="23"/>
      <c r="O171" s="19"/>
      <c r="P171" s="19"/>
      <c r="Q171" s="19"/>
      <c r="R171" s="33"/>
      <c r="T171" s="57"/>
      <c r="U171" s="2"/>
      <c r="V171" s="2"/>
      <c r="W171" s="199"/>
      <c r="X171" s="273"/>
      <c r="Y171" s="2"/>
      <c r="Z171" s="2"/>
      <c r="AA171" s="274"/>
      <c r="AB171" s="21"/>
      <c r="AC171" s="21"/>
      <c r="AD171" s="21"/>
      <c r="AE171" s="21"/>
      <c r="AF171" s="70"/>
      <c r="AG171" s="20"/>
      <c r="AH171" s="21"/>
      <c r="AI171" s="21"/>
      <c r="AJ171" s="22"/>
      <c r="AK171" s="29"/>
      <c r="AL171" s="19"/>
      <c r="AM171" s="57"/>
      <c r="AN171" s="2"/>
      <c r="AO171" s="2"/>
      <c r="AP171" s="63"/>
      <c r="AQ171" s="68"/>
      <c r="AR171" s="21"/>
      <c r="AS171" s="21"/>
      <c r="AT171" s="21"/>
      <c r="AU171" s="240"/>
      <c r="AV171" s="19"/>
      <c r="AW171" s="195"/>
      <c r="AX171" s="2"/>
      <c r="AY171" s="238"/>
      <c r="BB171" s="19"/>
      <c r="BC171" s="24"/>
      <c r="BG171" s="147" t="s">
        <v>11</v>
      </c>
      <c r="BH171" s="52">
        <f>Q187/1000</f>
        <v>853.50727645792904</v>
      </c>
      <c r="BI171" s="52">
        <f>AJ187/1000</f>
        <v>0</v>
      </c>
      <c r="BJ171" s="52">
        <f>BB187/1000</f>
        <v>0</v>
      </c>
      <c r="BK171" s="137">
        <f t="shared" si="48"/>
        <v>0</v>
      </c>
      <c r="BL171" s="52">
        <f t="shared" si="49"/>
        <v>853.50727645792904</v>
      </c>
      <c r="BT171" s="90"/>
      <c r="BU171" s="90"/>
      <c r="BV171" s="90"/>
      <c r="BW171" s="90"/>
      <c r="BX171" s="90"/>
      <c r="BY171" s="90"/>
      <c r="BZ171" s="90"/>
    </row>
    <row r="172" spans="1:81" s="90" customFormat="1">
      <c r="A172" s="699"/>
      <c r="B172" s="91" t="s">
        <v>42</v>
      </c>
      <c r="C172" s="92"/>
      <c r="D172" s="93"/>
      <c r="E172" s="94"/>
      <c r="F172" s="94"/>
      <c r="G172" s="95"/>
      <c r="H172" s="94"/>
      <c r="I172" s="96"/>
      <c r="J172" s="97"/>
      <c r="K172" s="97"/>
      <c r="L172" s="98"/>
      <c r="M172" s="94"/>
      <c r="N172" s="96"/>
      <c r="O172" s="97"/>
      <c r="P172" s="97"/>
      <c r="Q172" s="97"/>
      <c r="R172" s="99"/>
      <c r="T172" s="93"/>
      <c r="U172" s="94"/>
      <c r="V172" s="94"/>
      <c r="W172" s="211"/>
      <c r="X172" s="279"/>
      <c r="Y172" s="94"/>
      <c r="Z172" s="94"/>
      <c r="AA172" s="280"/>
      <c r="AB172" s="97"/>
      <c r="AC172" s="97"/>
      <c r="AD172" s="21"/>
      <c r="AE172" s="97"/>
      <c r="AF172" s="101"/>
      <c r="AG172" s="96"/>
      <c r="AH172" s="97"/>
      <c r="AI172" s="97"/>
      <c r="AJ172" s="98"/>
      <c r="AK172" s="102"/>
      <c r="AL172" s="103"/>
      <c r="AM172" s="93"/>
      <c r="AN172" s="94"/>
      <c r="AO172" s="94"/>
      <c r="AP172" s="95"/>
      <c r="AQ172" s="100"/>
      <c r="AR172" s="97"/>
      <c r="AS172" s="128"/>
      <c r="AT172" s="128"/>
      <c r="AU172" s="104"/>
      <c r="AV172" s="97"/>
      <c r="AW172" s="98"/>
      <c r="AX172" s="94"/>
      <c r="AY172" s="239"/>
      <c r="BB172" s="97"/>
      <c r="BC172" s="105"/>
      <c r="BG172" s="147" t="s">
        <v>1</v>
      </c>
      <c r="BH172" s="52">
        <f>Q188/1000</f>
        <v>3086.0461425512394</v>
      </c>
      <c r="BI172" s="52">
        <f>AJ188/1000</f>
        <v>1864.9958427653714</v>
      </c>
      <c r="BJ172" s="52">
        <f>BB188/1000</f>
        <v>0</v>
      </c>
      <c r="BK172" s="137">
        <f t="shared" si="48"/>
        <v>0.37668754340933103</v>
      </c>
      <c r="BL172" s="52">
        <f t="shared" si="49"/>
        <v>4951.0419853166113</v>
      </c>
      <c r="BM172" s="6"/>
      <c r="BN172" s="6"/>
      <c r="BO172" s="6"/>
      <c r="BR172" s="6"/>
      <c r="BS172" s="6"/>
      <c r="BT172" s="6"/>
      <c r="BU172" s="6"/>
      <c r="BV172" s="6"/>
      <c r="BW172" s="6"/>
      <c r="BX172" s="6"/>
      <c r="BY172" s="6"/>
      <c r="BZ172" s="6"/>
      <c r="CA172" s="6"/>
      <c r="CB172" s="6"/>
      <c r="CC172" s="6"/>
    </row>
    <row r="173" spans="1:81">
      <c r="A173" s="699"/>
      <c r="B173" s="23"/>
      <c r="C173" s="17" t="s">
        <v>33</v>
      </c>
      <c r="D173" s="57"/>
      <c r="E173" s="2"/>
      <c r="F173" s="2"/>
      <c r="G173" s="63"/>
      <c r="H173" s="2"/>
      <c r="I173" s="20"/>
      <c r="J173" s="21"/>
      <c r="K173" s="21"/>
      <c r="L173" s="22"/>
      <c r="M173" s="2"/>
      <c r="N173" s="23"/>
      <c r="O173" s="19"/>
      <c r="P173" s="19"/>
      <c r="Q173" s="19"/>
      <c r="R173" s="33"/>
      <c r="T173" s="57"/>
      <c r="U173" s="2"/>
      <c r="V173" s="2"/>
      <c r="W173" s="199"/>
      <c r="X173" s="273"/>
      <c r="Y173" s="2"/>
      <c r="Z173" s="2"/>
      <c r="AA173" s="274"/>
      <c r="AB173" s="21"/>
      <c r="AC173" s="21"/>
      <c r="AD173" s="21"/>
      <c r="AE173" s="21"/>
      <c r="AF173" s="70"/>
      <c r="AG173" s="20"/>
      <c r="AH173" s="21"/>
      <c r="AI173" s="21"/>
      <c r="AJ173" s="22"/>
      <c r="AK173" s="29"/>
      <c r="AL173" s="19"/>
      <c r="AM173" s="57"/>
      <c r="AN173" s="2"/>
      <c r="AO173" s="2"/>
      <c r="AP173" s="63"/>
      <c r="AQ173" s="68"/>
      <c r="AR173" s="21"/>
      <c r="AS173" s="21"/>
      <c r="AT173" s="21"/>
      <c r="AU173" s="240"/>
      <c r="AV173" s="19"/>
      <c r="AW173" s="195"/>
      <c r="AX173" s="2"/>
      <c r="AY173" s="238"/>
      <c r="BB173" s="19"/>
      <c r="BC173" s="24"/>
      <c r="BG173" s="142"/>
    </row>
    <row r="174" spans="1:81">
      <c r="A174" s="699"/>
      <c r="B174" s="23"/>
      <c r="C174" s="17" t="s">
        <v>34</v>
      </c>
      <c r="D174" s="57"/>
      <c r="E174" s="2"/>
      <c r="F174" s="2"/>
      <c r="G174" s="63"/>
      <c r="H174" s="2"/>
      <c r="I174" s="20"/>
      <c r="J174" s="21"/>
      <c r="K174" s="21"/>
      <c r="L174" s="22"/>
      <c r="M174" s="2"/>
      <c r="N174" s="23"/>
      <c r="O174" s="19"/>
      <c r="P174" s="19"/>
      <c r="Q174" s="19"/>
      <c r="R174" s="33"/>
      <c r="T174" s="57"/>
      <c r="U174" s="2"/>
      <c r="V174" s="2"/>
      <c r="W174" s="199"/>
      <c r="X174" s="273"/>
      <c r="Y174" s="2"/>
      <c r="Z174" s="2"/>
      <c r="AA174" s="274"/>
      <c r="AB174" s="21"/>
      <c r="AC174" s="21"/>
      <c r="AD174" s="21"/>
      <c r="AE174" s="21"/>
      <c r="AF174" s="70"/>
      <c r="AG174" s="20"/>
      <c r="AH174" s="21"/>
      <c r="AI174" s="21"/>
      <c r="AJ174" s="22"/>
      <c r="AK174" s="29"/>
      <c r="AL174" s="19"/>
      <c r="AM174" s="57"/>
      <c r="AN174" s="2"/>
      <c r="AO174" s="2"/>
      <c r="AP174" s="63"/>
      <c r="AQ174" s="68"/>
      <c r="AR174" s="21"/>
      <c r="AS174" s="21"/>
      <c r="AT174" s="21"/>
      <c r="AU174" s="240"/>
      <c r="AV174" s="19"/>
      <c r="AW174" s="195"/>
      <c r="AX174" s="2"/>
      <c r="AY174" s="238"/>
      <c r="BB174" s="19"/>
      <c r="BC174" s="24"/>
    </row>
    <row r="175" spans="1:81">
      <c r="A175" s="699"/>
      <c r="B175" s="23"/>
      <c r="C175" s="17" t="s">
        <v>35</v>
      </c>
      <c r="D175" s="57"/>
      <c r="E175" s="2"/>
      <c r="F175" s="2"/>
      <c r="G175" s="63"/>
      <c r="H175" s="2"/>
      <c r="I175" s="20"/>
      <c r="J175" s="21"/>
      <c r="K175" s="21"/>
      <c r="L175" s="22"/>
      <c r="M175" s="2"/>
      <c r="N175" s="23"/>
      <c r="O175" s="19"/>
      <c r="P175" s="19"/>
      <c r="Q175" s="19"/>
      <c r="R175" s="33"/>
      <c r="T175" s="57"/>
      <c r="U175" s="2"/>
      <c r="V175" s="2"/>
      <c r="W175" s="199"/>
      <c r="X175" s="273"/>
      <c r="Y175" s="2"/>
      <c r="Z175" s="2"/>
      <c r="AA175" s="274"/>
      <c r="AB175" s="21"/>
      <c r="AC175" s="21"/>
      <c r="AD175" s="21"/>
      <c r="AE175" s="21"/>
      <c r="AF175" s="70"/>
      <c r="AG175" s="20"/>
      <c r="AH175" s="21"/>
      <c r="AI175" s="21"/>
      <c r="AJ175" s="22"/>
      <c r="AK175" s="29"/>
      <c r="AL175" s="19"/>
      <c r="AM175" s="57"/>
      <c r="AN175" s="2"/>
      <c r="AO175" s="2"/>
      <c r="AP175" s="63"/>
      <c r="AQ175" s="68"/>
      <c r="AR175" s="21"/>
      <c r="AS175" s="21"/>
      <c r="AT175" s="21"/>
      <c r="AU175" s="240"/>
      <c r="AV175" s="19"/>
      <c r="AW175" s="195"/>
      <c r="AX175" s="2"/>
      <c r="AY175" s="238"/>
      <c r="BB175" s="19"/>
      <c r="BC175" s="24"/>
      <c r="BR175" s="90"/>
      <c r="BS175" s="90"/>
      <c r="CA175" s="90"/>
      <c r="CB175" s="90"/>
      <c r="CC175" s="90"/>
    </row>
    <row r="176" spans="1:81">
      <c r="A176" s="699"/>
      <c r="B176" s="23"/>
      <c r="C176" s="17" t="s">
        <v>36</v>
      </c>
      <c r="D176" s="57"/>
      <c r="E176" s="2"/>
      <c r="F176" s="2"/>
      <c r="G176" s="63"/>
      <c r="H176" s="2"/>
      <c r="I176" s="20"/>
      <c r="J176" s="21"/>
      <c r="K176" s="21"/>
      <c r="L176" s="22"/>
      <c r="M176" s="2"/>
      <c r="N176" s="23"/>
      <c r="O176" s="19"/>
      <c r="P176" s="19"/>
      <c r="Q176" s="19"/>
      <c r="R176" s="33"/>
      <c r="T176" s="57"/>
      <c r="U176" s="2"/>
      <c r="V176" s="2"/>
      <c r="W176" s="199"/>
      <c r="X176" s="273"/>
      <c r="Y176" s="2"/>
      <c r="Z176" s="2"/>
      <c r="AA176" s="274"/>
      <c r="AB176" s="21"/>
      <c r="AC176" s="21"/>
      <c r="AD176" s="21"/>
      <c r="AE176" s="21"/>
      <c r="AF176" s="70"/>
      <c r="AG176" s="20"/>
      <c r="AH176" s="21"/>
      <c r="AI176" s="21"/>
      <c r="AJ176" s="22"/>
      <c r="AK176" s="29"/>
      <c r="AL176" s="19"/>
      <c r="AM176" s="57"/>
      <c r="AN176" s="2"/>
      <c r="AO176" s="2"/>
      <c r="AP176" s="63"/>
      <c r="AQ176" s="68"/>
      <c r="AR176" s="21"/>
      <c r="AS176" s="21"/>
      <c r="AT176" s="21"/>
      <c r="AU176" s="240"/>
      <c r="AV176" s="19"/>
      <c r="AW176" s="195"/>
      <c r="AX176" s="2"/>
      <c r="AY176" s="238"/>
      <c r="BB176" s="19"/>
      <c r="BC176" s="24"/>
      <c r="BR176" s="106"/>
      <c r="BS176" s="106"/>
      <c r="BT176" s="90"/>
      <c r="BU176" s="90"/>
      <c r="BV176" s="90"/>
      <c r="BW176" s="90"/>
      <c r="BX176" s="90"/>
      <c r="BY176" s="90"/>
      <c r="BZ176" s="90"/>
      <c r="CA176" s="106"/>
      <c r="CB176" s="106"/>
      <c r="CC176" s="106"/>
    </row>
    <row r="177" spans="1:81" s="90" customFormat="1">
      <c r="A177" s="699"/>
      <c r="B177" s="91" t="s">
        <v>43</v>
      </c>
      <c r="C177" s="92"/>
      <c r="D177" s="93"/>
      <c r="E177" s="94"/>
      <c r="F177" s="94"/>
      <c r="G177" s="95"/>
      <c r="H177" s="94"/>
      <c r="I177" s="96"/>
      <c r="J177" s="97"/>
      <c r="K177" s="97"/>
      <c r="L177" s="98"/>
      <c r="M177" s="94"/>
      <c r="N177" s="96"/>
      <c r="O177" s="97"/>
      <c r="P177" s="97"/>
      <c r="Q177" s="97"/>
      <c r="R177" s="99"/>
      <c r="T177" s="93"/>
      <c r="U177" s="94"/>
      <c r="V177" s="94"/>
      <c r="W177" s="211"/>
      <c r="X177" s="279"/>
      <c r="Y177" s="94"/>
      <c r="Z177" s="94"/>
      <c r="AA177" s="280"/>
      <c r="AB177" s="97"/>
      <c r="AC177" s="97"/>
      <c r="AD177" s="21"/>
      <c r="AE177" s="97"/>
      <c r="AF177" s="101"/>
      <c r="AG177" s="96"/>
      <c r="AH177" s="97"/>
      <c r="AI177" s="97"/>
      <c r="AJ177" s="98"/>
      <c r="AK177" s="102"/>
      <c r="AL177" s="103"/>
      <c r="AM177" s="93"/>
      <c r="AN177" s="94"/>
      <c r="AO177" s="94"/>
      <c r="AP177" s="95"/>
      <c r="AQ177" s="100"/>
      <c r="AR177" s="97"/>
      <c r="AS177" s="97"/>
      <c r="AT177" s="97"/>
      <c r="AU177" s="104"/>
      <c r="AV177" s="97"/>
      <c r="AW177" s="98"/>
      <c r="AX177" s="94"/>
      <c r="AY177" s="239"/>
      <c r="BB177" s="97"/>
      <c r="BC177" s="105"/>
      <c r="BG177" s="143"/>
      <c r="BR177" s="106"/>
      <c r="BS177" s="106"/>
      <c r="BT177" s="106"/>
      <c r="BU177" s="106"/>
      <c r="BV177" s="106"/>
      <c r="BW177" s="106"/>
      <c r="BX177" s="106"/>
      <c r="BY177" s="106"/>
      <c r="BZ177" s="106"/>
      <c r="CA177" s="106"/>
      <c r="CB177" s="106"/>
      <c r="CC177" s="106"/>
    </row>
    <row r="178" spans="1:81" s="106" customFormat="1">
      <c r="A178" s="699"/>
      <c r="B178" s="107" t="s">
        <v>67</v>
      </c>
      <c r="C178" s="108"/>
      <c r="D178" s="109"/>
      <c r="E178" s="110"/>
      <c r="F178" s="110"/>
      <c r="G178" s="111"/>
      <c r="H178" s="110"/>
      <c r="I178" s="112">
        <f>D$144*'[2]Lfill en &amp; composn'!B$137</f>
        <v>308424.96071370674</v>
      </c>
      <c r="J178" s="113">
        <f>E191*SUM('[2]C&amp;I composn'!$E$21:$E$22)</f>
        <v>356997.22968687018</v>
      </c>
      <c r="K178" s="113">
        <f>F191*'[2]Lfill en &amp; composn'!C$137</f>
        <v>60383.623418987838</v>
      </c>
      <c r="L178" s="114">
        <f>SUM(I178:K178)</f>
        <v>725805.81381956476</v>
      </c>
      <c r="M178" s="110"/>
      <c r="N178" s="112">
        <f t="shared" ref="N178:P179" si="50">I178-AU178</f>
        <v>308424.96071370674</v>
      </c>
      <c r="O178" s="113">
        <f t="shared" si="50"/>
        <v>356997.22968687018</v>
      </c>
      <c r="P178" s="113">
        <f t="shared" si="50"/>
        <v>60383.623418987838</v>
      </c>
      <c r="Q178" s="114">
        <f>SUM(N178:P178)</f>
        <v>725805.81381956476</v>
      </c>
      <c r="R178" s="115">
        <f>Q178/[2]Popn!$C$40*1000</f>
        <v>105.80041444036756</v>
      </c>
      <c r="T178" s="202"/>
      <c r="U178" s="130"/>
      <c r="V178" s="130"/>
      <c r="W178" s="203"/>
      <c r="X178" s="130">
        <f>[2]PACIA!$H$21*[2]PACIA!I21</f>
        <v>34558.733999999997</v>
      </c>
      <c r="Y178" s="130">
        <f>[2]PACIA!$H$21*[2]PACIA!J21</f>
        <v>37285.116000000002</v>
      </c>
      <c r="Z178" s="130">
        <f>[2]PACIA!$H$21*[2]PACIA!K21</f>
        <v>1842.15</v>
      </c>
      <c r="AA178" s="276"/>
      <c r="AB178" s="242">
        <f>X178</f>
        <v>34558.733999999997</v>
      </c>
      <c r="AC178" s="242">
        <f>Y178</f>
        <v>37285.116000000002</v>
      </c>
      <c r="AD178" s="242">
        <f>Z178</f>
        <v>1842.15</v>
      </c>
      <c r="AE178" s="113"/>
      <c r="AF178" s="117"/>
      <c r="AG178" s="112"/>
      <c r="AH178" s="113"/>
      <c r="AI178" s="113"/>
      <c r="AJ178" s="114">
        <f>SUM(AB178:AD178)</f>
        <v>73686</v>
      </c>
      <c r="AK178" s="115">
        <f>AJ178/[2]Popn!$C$40*1000</f>
        <v>10.741177860544131</v>
      </c>
      <c r="AL178" s="119"/>
      <c r="AM178" s="109"/>
      <c r="AN178" s="110"/>
      <c r="AO178" s="110"/>
      <c r="AP178" s="111"/>
      <c r="AQ178" s="116"/>
      <c r="AR178" s="113"/>
      <c r="AS178" s="113"/>
      <c r="AT178" s="113"/>
      <c r="AU178" s="120"/>
      <c r="AV178" s="113"/>
      <c r="AW178" s="114"/>
      <c r="AX178" s="110"/>
      <c r="AY178" s="237"/>
      <c r="BB178" s="113"/>
      <c r="BC178" s="118">
        <f>BB178/[2]Popn!$C$40*1000</f>
        <v>0</v>
      </c>
      <c r="BG178" s="144"/>
      <c r="BR178" s="6"/>
      <c r="BS178" s="6"/>
      <c r="CA178" s="6"/>
      <c r="CB178" s="6"/>
      <c r="CC178" s="6"/>
    </row>
    <row r="179" spans="1:81" s="106" customFormat="1">
      <c r="A179" s="699"/>
      <c r="B179" s="37" t="s">
        <v>8</v>
      </c>
      <c r="C179" s="129" t="s">
        <v>8</v>
      </c>
      <c r="D179" s="109"/>
      <c r="E179" s="110"/>
      <c r="F179" s="110"/>
      <c r="G179" s="111"/>
      <c r="H179" s="110"/>
      <c r="I179" s="112">
        <f>D$144*'[2]Lfill en &amp; composn'!B$138</f>
        <v>115234.71303169271</v>
      </c>
      <c r="J179" s="113">
        <f>E191*SUM('[2]C&amp;I composn'!$E$23:$E$24)</f>
        <v>26229.809651974381</v>
      </c>
      <c r="K179" s="113">
        <f>F191*'[2]Lfill en &amp; composn'!C$138</f>
        <v>12938.672186817221</v>
      </c>
      <c r="L179" s="114">
        <f>SUM(I179:K179)</f>
        <v>154403.19487048429</v>
      </c>
      <c r="M179" s="110"/>
      <c r="N179" s="112">
        <f t="shared" si="50"/>
        <v>115234.71303169271</v>
      </c>
      <c r="O179" s="113">
        <f t="shared" si="50"/>
        <v>26229.809651974381</v>
      </c>
      <c r="P179" s="113">
        <f t="shared" si="50"/>
        <v>12938.672186817221</v>
      </c>
      <c r="Q179" s="114">
        <f>SUM(N179:P179)</f>
        <v>154403.19487048429</v>
      </c>
      <c r="R179" s="115">
        <f>Q179/[2]Popn!$C$40*1000</f>
        <v>22.507290100427856</v>
      </c>
      <c r="T179" s="109"/>
      <c r="U179" s="110"/>
      <c r="V179" s="110"/>
      <c r="W179" s="199"/>
      <c r="X179" s="275"/>
      <c r="Y179" s="110"/>
      <c r="Z179" s="110"/>
      <c r="AA179" s="276"/>
      <c r="AB179" s="113">
        <f>(T191-X178-AB163)*[2]NSW!$H$108</f>
        <v>276801.36441037146</v>
      </c>
      <c r="AC179" s="242">
        <f>(U$191-Y$178)*SUMIF('[2]C&amp;I composn'!$B$71:$B$85,C179,'[2]C&amp;I composn'!$E$71:$E$85)</f>
        <v>74170.110234647334</v>
      </c>
      <c r="AD179" s="113">
        <f>(V191-Z178)*[2]NSW!$Z$128</f>
        <v>6826.6962317920315</v>
      </c>
      <c r="AE179" s="113"/>
      <c r="AF179" s="117"/>
      <c r="AG179" s="112"/>
      <c r="AH179" s="113"/>
      <c r="AI179" s="113"/>
      <c r="AJ179" s="114">
        <f>SUM(AB179:AD179)</f>
        <v>357798.17087681085</v>
      </c>
      <c r="AK179" s="115">
        <f>AJ179/[2]Popn!$C$40*1000</f>
        <v>52.156091951865839</v>
      </c>
      <c r="AL179" s="119"/>
      <c r="AM179" s="109"/>
      <c r="AN179" s="110"/>
      <c r="AO179" s="110"/>
      <c r="AP179" s="111"/>
      <c r="AQ179" s="116"/>
      <c r="AR179" s="113"/>
      <c r="AS179" s="113"/>
      <c r="AT179" s="113"/>
      <c r="AU179" s="120"/>
      <c r="AV179" s="113"/>
      <c r="AW179" s="114"/>
      <c r="AX179" s="110"/>
      <c r="AY179" s="237"/>
      <c r="BB179" s="113"/>
      <c r="BC179" s="121"/>
      <c r="BG179" s="144"/>
      <c r="BR179" s="6"/>
      <c r="BS179" s="6"/>
      <c r="BT179" s="6"/>
      <c r="BU179" s="6"/>
      <c r="BV179" s="6"/>
      <c r="BW179" s="6"/>
      <c r="BX179" s="6"/>
      <c r="BY179" s="6"/>
      <c r="BZ179" s="6"/>
      <c r="CA179" s="6"/>
      <c r="CB179" s="6"/>
      <c r="CC179" s="6"/>
    </row>
    <row r="180" spans="1:81">
      <c r="A180" s="699"/>
      <c r="B180" s="23" t="s">
        <v>7</v>
      </c>
      <c r="C180" s="17" t="s">
        <v>9</v>
      </c>
      <c r="D180" s="57"/>
      <c r="E180" s="2"/>
      <c r="F180" s="2"/>
      <c r="G180" s="63"/>
      <c r="H180" s="2"/>
      <c r="I180" s="20"/>
      <c r="J180" s="21">
        <f>E191*'[2]C&amp;I composn'!$E$25</f>
        <v>53450.512611072299</v>
      </c>
      <c r="K180" s="21"/>
      <c r="L180" s="22"/>
      <c r="M180" s="2"/>
      <c r="N180" s="20"/>
      <c r="O180" s="21"/>
      <c r="P180" s="21"/>
      <c r="Q180" s="22"/>
      <c r="R180" s="34"/>
      <c r="T180" s="57"/>
      <c r="U180" s="2"/>
      <c r="V180" s="2"/>
      <c r="W180" s="199"/>
      <c r="X180" s="273"/>
      <c r="Y180" s="2"/>
      <c r="Z180" s="2"/>
      <c r="AA180" s="274"/>
      <c r="AB180" s="21"/>
      <c r="AC180" s="21">
        <f>(U$191-Y$178)*SUMIF('[2]C&amp;I composn'!$B$71:$B$85,C180,'[2]C&amp;I composn'!$E$71:$E$85)</f>
        <v>12179.683304625411</v>
      </c>
      <c r="AD180" s="21"/>
      <c r="AE180" s="21"/>
      <c r="AF180" s="70"/>
      <c r="AG180" s="20"/>
      <c r="AH180" s="21"/>
      <c r="AI180" s="21"/>
      <c r="AJ180" s="22"/>
      <c r="AK180" s="29"/>
      <c r="AL180" s="19"/>
      <c r="AM180" s="57"/>
      <c r="AN180" s="2"/>
      <c r="AO180" s="2"/>
      <c r="AP180" s="63"/>
      <c r="AQ180" s="68"/>
      <c r="AR180" s="21"/>
      <c r="AS180" s="35"/>
      <c r="AT180" s="21"/>
      <c r="AU180" s="25"/>
      <c r="AV180" s="21"/>
      <c r="AW180" s="22"/>
      <c r="AX180" s="2"/>
      <c r="AY180" s="238"/>
      <c r="BB180" s="21"/>
      <c r="BC180" s="29"/>
      <c r="BR180" s="106"/>
      <c r="BS180" s="106"/>
      <c r="CA180" s="106"/>
      <c r="CB180" s="106"/>
      <c r="CC180" s="106"/>
    </row>
    <row r="181" spans="1:81">
      <c r="A181" s="699"/>
      <c r="B181" s="23"/>
      <c r="C181" s="17" t="s">
        <v>10</v>
      </c>
      <c r="D181" s="57"/>
      <c r="E181" s="2"/>
      <c r="F181" s="2"/>
      <c r="G181" s="63"/>
      <c r="H181" s="2"/>
      <c r="I181" s="20"/>
      <c r="J181" s="21">
        <f>E191*'[2]C&amp;I composn'!$E$26</f>
        <v>19754.150096706835</v>
      </c>
      <c r="K181" s="21"/>
      <c r="L181" s="22"/>
      <c r="M181" s="2"/>
      <c r="N181" s="20"/>
      <c r="O181" s="21"/>
      <c r="P181" s="21"/>
      <c r="Q181" s="22"/>
      <c r="R181" s="33"/>
      <c r="T181" s="57"/>
      <c r="U181" s="2"/>
      <c r="V181" s="2"/>
      <c r="W181" s="199"/>
      <c r="X181" s="273"/>
      <c r="Y181" s="2"/>
      <c r="Z181" s="2"/>
      <c r="AA181" s="274"/>
      <c r="AB181" s="21"/>
      <c r="AC181" s="21">
        <f>(U$191-Y$178)*SUMIF('[2]C&amp;I composn'!$B$71:$B$85,C181,'[2]C&amp;I composn'!$E$71:$E$85)</f>
        <v>5899.4329548073083</v>
      </c>
      <c r="AD181" s="21"/>
      <c r="AE181" s="21"/>
      <c r="AF181" s="70"/>
      <c r="AG181" s="20"/>
      <c r="AH181" s="21"/>
      <c r="AI181" s="21"/>
      <c r="AJ181" s="22"/>
      <c r="AK181" s="29"/>
      <c r="AL181" s="19"/>
      <c r="AM181" s="57"/>
      <c r="AN181" s="2"/>
      <c r="AO181" s="2"/>
      <c r="AP181" s="63"/>
      <c r="AQ181" s="68"/>
      <c r="AR181" s="21"/>
      <c r="AS181" s="35"/>
      <c r="AT181" s="21"/>
      <c r="AU181" s="240"/>
      <c r="AV181" s="21"/>
      <c r="AW181" s="195"/>
      <c r="AX181" s="2"/>
      <c r="AY181" s="238"/>
      <c r="BB181" s="21"/>
      <c r="BC181" s="29"/>
      <c r="BT181" s="106"/>
      <c r="BU181" s="106"/>
      <c r="BV181" s="106"/>
      <c r="BW181" s="106"/>
      <c r="BX181" s="106"/>
      <c r="BY181" s="106"/>
      <c r="BZ181" s="106"/>
    </row>
    <row r="182" spans="1:81" s="106" customFormat="1">
      <c r="A182" s="699"/>
      <c r="B182" s="107" t="s">
        <v>67</v>
      </c>
      <c r="C182" s="108"/>
      <c r="D182" s="109"/>
      <c r="E182" s="110"/>
      <c r="F182" s="110"/>
      <c r="G182" s="111"/>
      <c r="H182" s="110"/>
      <c r="I182" s="112">
        <f>D$144*'[2]Lfill en &amp; composn'!B$139</f>
        <v>59612.5</v>
      </c>
      <c r="J182" s="113">
        <f>SUM(J180:J181)</f>
        <v>73204.662707779135</v>
      </c>
      <c r="K182" s="113">
        <f>F191*'[2]Lfill en &amp; composn'!C$139</f>
        <v>0</v>
      </c>
      <c r="L182" s="114">
        <f>SUM(I182:K182)</f>
        <v>132817.16270777915</v>
      </c>
      <c r="M182" s="110"/>
      <c r="N182" s="112">
        <f>I182-AU182</f>
        <v>58472.521434176255</v>
      </c>
      <c r="O182" s="113">
        <f>J182-AV182</f>
        <v>71804.759224361653</v>
      </c>
      <c r="P182" s="113">
        <f>K182-AW182</f>
        <v>0</v>
      </c>
      <c r="Q182" s="114">
        <f>SUM(N182:P182)</f>
        <v>130277.2806585379</v>
      </c>
      <c r="R182" s="115">
        <f>Q182/[2]Popn!$C$40*1000</f>
        <v>18.990465525898834</v>
      </c>
      <c r="T182" s="109"/>
      <c r="U182" s="110"/>
      <c r="V182" s="110"/>
      <c r="W182" s="203"/>
      <c r="X182" s="275"/>
      <c r="Y182" s="110"/>
      <c r="Z182" s="110"/>
      <c r="AA182" s="276"/>
      <c r="AB182" s="113"/>
      <c r="AC182" s="113">
        <f>SUM(AC180:AC181)</f>
        <v>18079.116259432718</v>
      </c>
      <c r="AD182" s="21"/>
      <c r="AE182" s="113"/>
      <c r="AF182" s="117"/>
      <c r="AG182" s="112"/>
      <c r="AH182" s="113"/>
      <c r="AI182" s="113"/>
      <c r="AJ182" s="114">
        <f>SUM(AB182:AD182)</f>
        <v>18079.116259432718</v>
      </c>
      <c r="AK182" s="115">
        <f>AJ182/[2]Popn!$C$40*1000</f>
        <v>2.6353853283394688</v>
      </c>
      <c r="AL182" s="119"/>
      <c r="AM182" s="109"/>
      <c r="AN182" s="110"/>
      <c r="AO182" s="110"/>
      <c r="AP182" s="111"/>
      <c r="AQ182" s="116"/>
      <c r="AR182" s="113">
        <f>L182*'[2]Lfill en &amp; composn'!$C$94</f>
        <v>5213.0736362803309</v>
      </c>
      <c r="AS182" s="35">
        <f>AR182/SUM($AR$148:$AR$190)</f>
        <v>9.8301634570531204E-3</v>
      </c>
      <c r="AT182" s="21">
        <f>AS182*'[2]Lfill en &amp; composn'!$C$60/'[2]Lfill en &amp; composn'!$B$25</f>
        <v>2539.8820492412297</v>
      </c>
      <c r="AU182" s="120">
        <f>$AT182*I182/SUM($I182:$K182)</f>
        <v>1139.9785658237429</v>
      </c>
      <c r="AV182" s="113">
        <f>$AT182*J182/SUM($I182:$K182)</f>
        <v>1399.9034834174863</v>
      </c>
      <c r="AW182" s="114">
        <f>$AT182*K182/SUM($I182:$K182)</f>
        <v>0</v>
      </c>
      <c r="AX182" s="110"/>
      <c r="AY182" s="241">
        <f>AU182</f>
        <v>1139.9785658237429</v>
      </c>
      <c r="AZ182" s="242">
        <f>AV182</f>
        <v>1399.9034834174863</v>
      </c>
      <c r="BA182" s="242">
        <f>AW182</f>
        <v>0</v>
      </c>
      <c r="BB182" s="114">
        <f>AT182+AP182</f>
        <v>2539.8820492412297</v>
      </c>
      <c r="BC182" s="118">
        <f>BB182/[2]Popn!$C$40*1000</f>
        <v>0.37023755985809176</v>
      </c>
      <c r="BD182" s="122"/>
      <c r="BG182" s="144"/>
      <c r="BR182" s="6"/>
      <c r="BS182" s="6"/>
      <c r="BT182" s="6"/>
      <c r="BU182" s="6"/>
      <c r="BV182" s="6"/>
      <c r="BW182" s="6"/>
      <c r="BX182" s="6"/>
      <c r="BY182" s="6"/>
      <c r="BZ182" s="6"/>
      <c r="CA182" s="6"/>
      <c r="CB182" s="6"/>
      <c r="CC182" s="6"/>
    </row>
    <row r="183" spans="1:81">
      <c r="A183" s="699"/>
      <c r="B183" s="23" t="s">
        <v>11</v>
      </c>
      <c r="C183" s="17" t="s">
        <v>12</v>
      </c>
      <c r="D183" s="57"/>
      <c r="E183" s="2"/>
      <c r="F183" s="2"/>
      <c r="G183" s="63"/>
      <c r="H183" s="2"/>
      <c r="I183" s="20"/>
      <c r="J183" s="21"/>
      <c r="K183" s="21"/>
      <c r="L183" s="22"/>
      <c r="M183" s="2"/>
      <c r="N183" s="20"/>
      <c r="O183" s="21"/>
      <c r="P183" s="21"/>
      <c r="Q183" s="22"/>
      <c r="R183" s="33"/>
      <c r="T183" s="57"/>
      <c r="U183" s="2"/>
      <c r="V183" s="2"/>
      <c r="W183" s="199"/>
      <c r="X183" s="273"/>
      <c r="Y183" s="2"/>
      <c r="Z183" s="2"/>
      <c r="AA183" s="274"/>
      <c r="AB183" s="21"/>
      <c r="AC183" s="21"/>
      <c r="AD183" s="21"/>
      <c r="AE183" s="21"/>
      <c r="AF183" s="70"/>
      <c r="AG183" s="20"/>
      <c r="AH183" s="21"/>
      <c r="AI183" s="21"/>
      <c r="AJ183" s="22"/>
      <c r="AK183" s="29"/>
      <c r="AL183" s="19"/>
      <c r="AM183" s="57"/>
      <c r="AN183" s="2"/>
      <c r="AO183" s="2"/>
      <c r="AP183" s="63"/>
      <c r="AQ183" s="68"/>
      <c r="AR183" s="21"/>
      <c r="AS183" s="21"/>
      <c r="AT183" s="21"/>
      <c r="AU183" s="25"/>
      <c r="AV183" s="21"/>
      <c r="AW183" s="22"/>
      <c r="AX183" s="2"/>
      <c r="AY183" s="23"/>
      <c r="AZ183" s="19"/>
      <c r="BA183" s="19"/>
      <c r="BB183" s="19"/>
      <c r="BC183" s="24"/>
    </row>
    <row r="184" spans="1:81">
      <c r="A184" s="699"/>
      <c r="B184" s="23"/>
      <c r="C184" s="17" t="s">
        <v>13</v>
      </c>
      <c r="D184" s="57"/>
      <c r="E184" s="2"/>
      <c r="F184" s="2"/>
      <c r="G184" s="156"/>
      <c r="H184" s="3"/>
      <c r="I184" s="20"/>
      <c r="J184" s="21"/>
      <c r="K184" s="21"/>
      <c r="L184" s="22"/>
      <c r="M184" s="83"/>
      <c r="N184" s="20"/>
      <c r="O184" s="21"/>
      <c r="P184" s="21"/>
      <c r="Q184" s="22"/>
      <c r="R184" s="34"/>
      <c r="T184" s="57"/>
      <c r="U184" s="2"/>
      <c r="V184" s="2"/>
      <c r="W184" s="199"/>
      <c r="X184" s="281"/>
      <c r="Y184" s="3"/>
      <c r="Z184" s="3"/>
      <c r="AA184" s="282"/>
      <c r="AB184" s="21"/>
      <c r="AC184" s="21"/>
      <c r="AD184" s="21"/>
      <c r="AE184" s="21"/>
      <c r="AF184" s="70"/>
      <c r="AG184" s="20"/>
      <c r="AH184" s="21"/>
      <c r="AI184" s="21"/>
      <c r="AJ184" s="22"/>
      <c r="AK184" s="29"/>
      <c r="AL184" s="19"/>
      <c r="AM184" s="57"/>
      <c r="AN184" s="2"/>
      <c r="AO184" s="2"/>
      <c r="AP184" s="64"/>
      <c r="AQ184" s="69"/>
      <c r="AR184" s="21"/>
      <c r="AS184" s="21"/>
      <c r="AT184" s="21"/>
      <c r="AU184" s="25"/>
      <c r="AV184" s="21"/>
      <c r="AW184" s="22"/>
      <c r="AX184" s="2"/>
      <c r="AY184" s="20"/>
      <c r="AZ184" s="21"/>
      <c r="BA184" s="21"/>
      <c r="BB184" s="21"/>
      <c r="BC184" s="24"/>
    </row>
    <row r="185" spans="1:81">
      <c r="A185" s="699"/>
      <c r="B185" s="23"/>
      <c r="C185" s="17" t="s">
        <v>14</v>
      </c>
      <c r="D185" s="57"/>
      <c r="E185" s="2"/>
      <c r="F185" s="2"/>
      <c r="G185" s="156"/>
      <c r="H185" s="3"/>
      <c r="I185" s="20"/>
      <c r="J185" s="21"/>
      <c r="K185" s="21"/>
      <c r="L185" s="22"/>
      <c r="M185" s="83"/>
      <c r="N185" s="20"/>
      <c r="O185" s="21"/>
      <c r="P185" s="21"/>
      <c r="Q185" s="22"/>
      <c r="R185" s="34"/>
      <c r="T185" s="57"/>
      <c r="U185" s="2"/>
      <c r="V185" s="2"/>
      <c r="W185" s="199"/>
      <c r="X185" s="281"/>
      <c r="Y185" s="3"/>
      <c r="Z185" s="3"/>
      <c r="AA185" s="282"/>
      <c r="AB185" s="21"/>
      <c r="AC185" s="21"/>
      <c r="AD185" s="21"/>
      <c r="AE185" s="21"/>
      <c r="AF185" s="70"/>
      <c r="AG185" s="20"/>
      <c r="AH185" s="21"/>
      <c r="AI185" s="21"/>
      <c r="AJ185" s="22"/>
      <c r="AK185" s="29"/>
      <c r="AL185" s="19"/>
      <c r="AM185" s="57"/>
      <c r="AN185" s="2"/>
      <c r="AO185" s="2"/>
      <c r="AP185" s="64"/>
      <c r="AQ185" s="69"/>
      <c r="AR185" s="21"/>
      <c r="AS185" s="21"/>
      <c r="AT185" s="21"/>
      <c r="AU185" s="25"/>
      <c r="AV185" s="21"/>
      <c r="AW185" s="22"/>
      <c r="AX185" s="2"/>
      <c r="AY185" s="23"/>
      <c r="AZ185" s="19"/>
      <c r="BA185" s="19"/>
      <c r="BB185" s="21"/>
      <c r="BC185" s="24"/>
      <c r="BR185" s="106"/>
      <c r="BS185" s="106"/>
      <c r="CA185" s="106"/>
      <c r="CB185" s="106"/>
      <c r="CC185" s="106"/>
    </row>
    <row r="186" spans="1:81">
      <c r="A186" s="699"/>
      <c r="B186" s="23"/>
      <c r="C186" s="17" t="s">
        <v>15</v>
      </c>
      <c r="D186" s="57"/>
      <c r="E186" s="2"/>
      <c r="F186" s="2"/>
      <c r="G186" s="156"/>
      <c r="H186" s="3"/>
      <c r="I186" s="20"/>
      <c r="J186" s="21"/>
      <c r="K186" s="21"/>
      <c r="L186" s="22"/>
      <c r="M186" s="83"/>
      <c r="N186" s="20"/>
      <c r="O186" s="21"/>
      <c r="P186" s="21"/>
      <c r="Q186" s="22"/>
      <c r="R186" s="34"/>
      <c r="T186" s="57"/>
      <c r="U186" s="2"/>
      <c r="V186" s="2"/>
      <c r="W186" s="199"/>
      <c r="X186" s="281"/>
      <c r="Y186" s="3"/>
      <c r="Z186" s="3"/>
      <c r="AA186" s="282"/>
      <c r="AB186" s="21"/>
      <c r="AC186" s="21"/>
      <c r="AD186" s="21"/>
      <c r="AE186" s="21"/>
      <c r="AF186" s="70"/>
      <c r="AG186" s="20"/>
      <c r="AH186" s="21"/>
      <c r="AI186" s="21"/>
      <c r="AJ186" s="22"/>
      <c r="AK186" s="29"/>
      <c r="AL186" s="19"/>
      <c r="AM186" s="57"/>
      <c r="AN186" s="2"/>
      <c r="AO186" s="2"/>
      <c r="AP186" s="64"/>
      <c r="AQ186" s="69"/>
      <c r="AR186" s="21"/>
      <c r="AS186" s="21"/>
      <c r="AT186" s="21"/>
      <c r="AU186" s="25"/>
      <c r="AV186" s="21"/>
      <c r="AW186" s="22"/>
      <c r="AX186" s="2"/>
      <c r="AY186" s="23"/>
      <c r="AZ186" s="19"/>
      <c r="BA186" s="19"/>
      <c r="BB186" s="21"/>
      <c r="BC186" s="24"/>
      <c r="BR186" s="106"/>
      <c r="BS186" s="106"/>
      <c r="BT186" s="106"/>
      <c r="BU186" s="106"/>
      <c r="BV186" s="106"/>
      <c r="BW186" s="106"/>
      <c r="BX186" s="106"/>
      <c r="BY186" s="106"/>
      <c r="BZ186" s="106"/>
      <c r="CA186" s="106"/>
      <c r="CB186" s="106"/>
      <c r="CC186" s="106"/>
    </row>
    <row r="187" spans="1:81" s="106" customFormat="1">
      <c r="A187" s="699"/>
      <c r="B187" s="107" t="s">
        <v>67</v>
      </c>
      <c r="C187" s="108"/>
      <c r="D187" s="109"/>
      <c r="E187" s="110"/>
      <c r="F187" s="110"/>
      <c r="G187" s="124"/>
      <c r="H187" s="125"/>
      <c r="I187" s="112">
        <f>D$144*'[2]Lfill en &amp; composn'!B$140</f>
        <v>41389.795411853105</v>
      </c>
      <c r="J187" s="113">
        <f>E191*'[2]C&amp;I composn'!$E$28</f>
        <v>279191.97495254019</v>
      </c>
      <c r="K187" s="113">
        <f>F191*'[2]Lfill en &amp; composn'!C$140</f>
        <v>532925.50609353581</v>
      </c>
      <c r="L187" s="114">
        <f>SUM(I187:K187)</f>
        <v>853507.27645792905</v>
      </c>
      <c r="M187" s="110"/>
      <c r="N187" s="112">
        <f>I187-AU187</f>
        <v>41389.795411853105</v>
      </c>
      <c r="O187" s="113">
        <f>J187-AV187</f>
        <v>279191.97495254019</v>
      </c>
      <c r="P187" s="113">
        <f>K187-AW187</f>
        <v>532925.50609353581</v>
      </c>
      <c r="Q187" s="114">
        <f>SUM(N187:P187)</f>
        <v>853507.27645792905</v>
      </c>
      <c r="R187" s="115">
        <f>Q187/[2]Popn!$C$40*1000</f>
        <v>124.41540403473151</v>
      </c>
      <c r="T187" s="109"/>
      <c r="U187" s="110"/>
      <c r="V187" s="110"/>
      <c r="W187" s="203"/>
      <c r="X187" s="283"/>
      <c r="Y187" s="125"/>
      <c r="Z187" s="125"/>
      <c r="AA187" s="284"/>
      <c r="AB187" s="113"/>
      <c r="AC187" s="113"/>
      <c r="AD187" s="21"/>
      <c r="AE187" s="113"/>
      <c r="AF187" s="117"/>
      <c r="AG187" s="112"/>
      <c r="AH187" s="113"/>
      <c r="AI187" s="113"/>
      <c r="AJ187" s="114"/>
      <c r="AK187" s="115">
        <f>AJ187/[2]Popn!$C$40*1000</f>
        <v>0</v>
      </c>
      <c r="AL187" s="119"/>
      <c r="AM187" s="109"/>
      <c r="AN187" s="110"/>
      <c r="AO187" s="110"/>
      <c r="AP187" s="124"/>
      <c r="AQ187" s="126"/>
      <c r="AR187" s="113"/>
      <c r="AS187" s="113"/>
      <c r="AT187" s="113"/>
      <c r="AU187" s="120"/>
      <c r="AV187" s="113"/>
      <c r="AW187" s="114"/>
      <c r="AX187" s="110"/>
      <c r="AY187" s="127"/>
      <c r="AZ187" s="119"/>
      <c r="BA187" s="119"/>
      <c r="BB187" s="113"/>
      <c r="BC187" s="121"/>
      <c r="BG187" s="144"/>
      <c r="BR187" s="6"/>
      <c r="BS187" s="6"/>
      <c r="CA187" s="6"/>
      <c r="CB187" s="6"/>
      <c r="CC187" s="6"/>
    </row>
    <row r="188" spans="1:81" s="106" customFormat="1" ht="13.5" thickBot="1">
      <c r="A188" s="699"/>
      <c r="B188" s="131" t="s">
        <v>37</v>
      </c>
      <c r="C188" s="132" t="s">
        <v>1</v>
      </c>
      <c r="D188" s="109"/>
      <c r="E188" s="110"/>
      <c r="F188" s="110"/>
      <c r="G188" s="203">
        <f>'[2]Fly ash'!$B$260</f>
        <v>3086046.1425512396</v>
      </c>
      <c r="H188" s="130"/>
      <c r="I188" s="112"/>
      <c r="J188" s="113"/>
      <c r="K188" s="113"/>
      <c r="L188" s="114"/>
      <c r="M188" s="110"/>
      <c r="N188" s="127"/>
      <c r="O188" s="119"/>
      <c r="P188" s="119"/>
      <c r="Q188" s="113">
        <f>G188</f>
        <v>3086046.1425512396</v>
      </c>
      <c r="R188" s="115">
        <f>Q188/[2]Popn!$C$40*1000</f>
        <v>449.8516747141789</v>
      </c>
      <c r="T188" s="109"/>
      <c r="U188" s="110"/>
      <c r="V188" s="110"/>
      <c r="W188" s="203"/>
      <c r="X188" s="253"/>
      <c r="Y188" s="130"/>
      <c r="Z188" s="130"/>
      <c r="AA188" s="285">
        <f>'[2]Fly ash'!$B$252</f>
        <v>1864995.8427653715</v>
      </c>
      <c r="AB188" s="113"/>
      <c r="AC188" s="113"/>
      <c r="AD188" s="21"/>
      <c r="AE188" s="113"/>
      <c r="AF188" s="117"/>
      <c r="AG188" s="112"/>
      <c r="AH188" s="113"/>
      <c r="AI188" s="113"/>
      <c r="AJ188" s="114">
        <f>AA188</f>
        <v>1864995.8427653715</v>
      </c>
      <c r="AK188" s="115">
        <f>AJ188/[2]Popn!$C$40*1000</f>
        <v>271.85967560076881</v>
      </c>
      <c r="AL188" s="119"/>
      <c r="AM188" s="109"/>
      <c r="AN188" s="110"/>
      <c r="AO188" s="110"/>
      <c r="AP188" s="111"/>
      <c r="AQ188" s="117"/>
      <c r="AR188" s="113"/>
      <c r="AS188" s="113"/>
      <c r="AT188" s="113"/>
      <c r="AU188" s="120"/>
      <c r="AV188" s="113"/>
      <c r="AW188" s="114"/>
      <c r="AX188" s="110"/>
      <c r="AY188" s="127"/>
      <c r="AZ188" s="119"/>
      <c r="BA188" s="119"/>
      <c r="BB188" s="119"/>
      <c r="BC188" s="121"/>
      <c r="BG188" s="144"/>
      <c r="BR188" s="6"/>
      <c r="BS188" s="6"/>
      <c r="BT188" s="6"/>
      <c r="BU188" s="6"/>
      <c r="BV188" s="6"/>
      <c r="BW188" s="6"/>
      <c r="BX188" s="6"/>
      <c r="BY188" s="6"/>
      <c r="BZ188" s="6"/>
      <c r="CA188" s="6"/>
      <c r="CB188" s="6"/>
      <c r="CC188" s="6"/>
    </row>
    <row r="189" spans="1:81" ht="13.5" thickBot="1">
      <c r="B189" s="19"/>
      <c r="C189" s="38"/>
      <c r="D189" s="57"/>
      <c r="E189" s="2"/>
      <c r="F189" s="2"/>
      <c r="G189" s="63"/>
      <c r="H189" s="2"/>
      <c r="I189" s="20"/>
      <c r="J189" s="21"/>
      <c r="K189" s="21"/>
      <c r="L189" s="22"/>
      <c r="M189" s="2"/>
      <c r="N189" s="23"/>
      <c r="O189" s="19"/>
      <c r="P189" s="19"/>
      <c r="Q189" s="19"/>
      <c r="R189" s="24"/>
      <c r="T189" s="57"/>
      <c r="U189" s="2"/>
      <c r="V189" s="2"/>
      <c r="W189" s="63"/>
      <c r="X189" s="273"/>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row>
    <row r="190" spans="1:81" ht="13.5" thickBot="1">
      <c r="C190" s="39" t="s">
        <v>38</v>
      </c>
      <c r="D190" s="58"/>
      <c r="E190" s="59"/>
      <c r="F190" s="2"/>
      <c r="G190" s="65"/>
      <c r="H190" s="2"/>
      <c r="I190" s="20"/>
      <c r="J190" s="21"/>
      <c r="K190" s="21"/>
      <c r="L190" s="22"/>
      <c r="M190" s="2"/>
      <c r="N190" s="23"/>
      <c r="O190" s="19"/>
      <c r="P190" s="19"/>
      <c r="Q190" s="19"/>
      <c r="R190" s="24"/>
      <c r="T190" s="58"/>
      <c r="U190" s="59"/>
      <c r="V190" s="2"/>
      <c r="W190" s="65"/>
      <c r="X190" s="273"/>
      <c r="Y190" s="2"/>
      <c r="Z190" s="2"/>
      <c r="AA190" s="274"/>
      <c r="AB190" s="21"/>
      <c r="AC190" s="21"/>
      <c r="AD190" s="267"/>
      <c r="AE190" s="21"/>
      <c r="AF190" s="70"/>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81" ht="13.5" thickBot="1">
      <c r="C191" s="135" t="s">
        <v>92</v>
      </c>
      <c r="D191" s="134">
        <f>[2]NSW!$E$88</f>
        <v>2408000</v>
      </c>
      <c r="E191" s="134">
        <f>[2]NSW!$E$94</f>
        <v>2921000</v>
      </c>
      <c r="F191" s="134">
        <f>[2]NSW!$E$100</f>
        <v>2035500</v>
      </c>
      <c r="G191" s="66">
        <f>SUM(D191:F191)</f>
        <v>7364500</v>
      </c>
      <c r="H191" s="246"/>
      <c r="I191" s="41">
        <f>SUM(I187,I182,I179,I178,I168,I163,I157,I153)</f>
        <v>2384500</v>
      </c>
      <c r="J191" s="218">
        <f>SUM(J187,J182,J179,J178,J168,J163,J157,J153)</f>
        <v>2921000</v>
      </c>
      <c r="K191" s="218">
        <f>SUM(K187,K182,K179,K178,K168,K163,K157,K153)</f>
        <v>2035454.5184586663</v>
      </c>
      <c r="L191" s="42">
        <f>SUM(L187,L182,L179,L178,L168,L163,L157,L153)</f>
        <v>7340954.5184586663</v>
      </c>
      <c r="M191" s="43"/>
      <c r="N191" s="44">
        <f>SUM(N187,N182,N179,N178,N168,N163,N157,N153)</f>
        <v>2230436.4461975507</v>
      </c>
      <c r="O191" s="45">
        <f>SUM(O187,O182,O179,O178,O168,O163,O157,O153)</f>
        <v>2744830.1205053041</v>
      </c>
      <c r="P191" s="45">
        <f>SUM(P187,P182,P179,P178,P168,P163,P157,P153)</f>
        <v>2015196.2239000136</v>
      </c>
      <c r="Q191" s="133">
        <f>SUM(Q187,Q182,Q179,Q178,Q168,Q163,Q157,Q153,Q190)</f>
        <v>6990462.7906028684</v>
      </c>
      <c r="R191" s="27">
        <f>SUM(R187,R182,R179,R178,R168,R163,R157,R153)</f>
        <v>1018.9968808373512</v>
      </c>
      <c r="T191" s="60">
        <f>[2]NSW!$F$88</f>
        <v>1482500</v>
      </c>
      <c r="U191" s="134">
        <f>[2]NSW!$F$94</f>
        <v>2297000</v>
      </c>
      <c r="V191" s="134">
        <f>[2]NSW!$F$100</f>
        <v>4215500</v>
      </c>
      <c r="W191" s="66">
        <f>SUM(T191:V191)</f>
        <v>7995000</v>
      </c>
      <c r="X191" s="286"/>
      <c r="Y191" s="266"/>
      <c r="Z191" s="266"/>
      <c r="AA191" s="287"/>
      <c r="AB191" s="45">
        <f>SUM(AB153,AB157,AB163,AB168,AB178,AB179,AB182,AB187)</f>
        <v>1482499.9999999998</v>
      </c>
      <c r="AC191" s="45">
        <f>SUM(AC153,AC157,AC163,AC168,AC178,AC179,AC182,AC187)</f>
        <v>2296999.9999999995</v>
      </c>
      <c r="AD191" s="45">
        <f>SUM(AD153,AD157,AD163,AD168,AD178,AD179,AD182,AD187)</f>
        <v>4215499.5679842317</v>
      </c>
      <c r="AE191" s="45"/>
      <c r="AF191" s="85" t="s">
        <v>93</v>
      </c>
      <c r="AG191" s="44">
        <f>$AJ191*[2]WA!J$114</f>
        <v>1918799.8963162154</v>
      </c>
      <c r="AH191" s="45">
        <f>$AJ191*[2]WA!K$114</f>
        <v>4157399.7753518</v>
      </c>
      <c r="AI191" s="45">
        <f>$AJ191*[2]WA!L$114</f>
        <v>1918799.8963162154</v>
      </c>
      <c r="AJ191" s="354">
        <f>SUM(AJ187,AJ182,AJ179,AJ178,AJ168,AJ163,AJ157,AJ153,AJ190)</f>
        <v>7994999.5679842308</v>
      </c>
      <c r="AK191" s="27">
        <f>SUM(AK187,AK182,AK179,AK178,AK168,AK163,AK157,AK153,AK190)</f>
        <v>1165.4277929958484</v>
      </c>
      <c r="AL191" s="19"/>
      <c r="AM191" s="60"/>
      <c r="AN191" s="706"/>
      <c r="AO191" s="707"/>
      <c r="AP191" s="66"/>
      <c r="AQ191" s="71"/>
      <c r="AR191" s="45">
        <f>SUM(AR148:AR190)</f>
        <v>530314.03384650359</v>
      </c>
      <c r="AS191" s="46">
        <f>SUM(AS148:AS190)</f>
        <v>1</v>
      </c>
      <c r="AT191" s="45">
        <f>SUM(AT148:AT190)</f>
        <v>615604.75775949424</v>
      </c>
      <c r="AU191" s="47"/>
      <c r="AV191" s="45"/>
      <c r="AW191" s="214"/>
      <c r="AX191" s="43"/>
      <c r="AY191" s="44">
        <f>SUM(AY187,AY182,AY179,AY178,AY168,AY163,AY157,AY153)</f>
        <v>154063.55380244902</v>
      </c>
      <c r="AZ191" s="45">
        <f>SUM(AZ187,AZ182,AZ179,AZ178,AZ168,AZ163,AZ157,AZ153)</f>
        <v>176169.87949469639</v>
      </c>
      <c r="BA191" s="45">
        <f>SUM(BA187,BA182,BA179,BA178,BA168,BA163,BA157,BA153)</f>
        <v>20258.294558652502</v>
      </c>
      <c r="BB191" s="354">
        <f>SUM(BB187,BB182,BB179,BB178,BB168,BB163,BB157,BB153,BB190)</f>
        <v>350491.72785579786</v>
      </c>
      <c r="BC191" s="27">
        <f>SUM(BC187,BC182,BC179,BC178,BC168,BC163,BC157,BC153,BC190)</f>
        <v>51.091034763028993</v>
      </c>
    </row>
    <row r="192" spans="1:81" ht="13.5" thickBot="1">
      <c r="C192" s="136" t="s">
        <v>65</v>
      </c>
      <c r="I192" s="52"/>
      <c r="Q192" s="49">
        <f>Q191+Q188</f>
        <v>10076508.933154108</v>
      </c>
      <c r="R192" s="216">
        <f>R191+R188</f>
        <v>1468.8485555515301</v>
      </c>
      <c r="AJ192" s="353">
        <f>AJ191+AJ188</f>
        <v>9859995.4107496031</v>
      </c>
      <c r="AK192" s="216">
        <f>AK191+AK188</f>
        <v>1437.2874685966171</v>
      </c>
      <c r="BB192" s="353">
        <f>BB191+BB188</f>
        <v>350491.72785579786</v>
      </c>
      <c r="BC192" s="216">
        <f>BC191+BC188</f>
        <v>51.091034763028993</v>
      </c>
    </row>
    <row r="193" spans="3:28">
      <c r="AB193" s="52"/>
    </row>
    <row r="194" spans="3:28">
      <c r="C194" s="89"/>
    </row>
  </sheetData>
  <mergeCells count="41">
    <mergeCell ref="BC5:BC6"/>
    <mergeCell ref="AK5:AK6"/>
    <mergeCell ref="R5:R6"/>
    <mergeCell ref="AY5:BB5"/>
    <mergeCell ref="N4:R4"/>
    <mergeCell ref="N5:Q5"/>
    <mergeCell ref="T5:W5"/>
    <mergeCell ref="AG5:AJ5"/>
    <mergeCell ref="AM5:AP5"/>
    <mergeCell ref="X5:AA5"/>
    <mergeCell ref="AB14:AB15"/>
    <mergeCell ref="AB61:AB62"/>
    <mergeCell ref="A7:A47"/>
    <mergeCell ref="BH7:BL7"/>
    <mergeCell ref="BM7:BN7"/>
    <mergeCell ref="BH8:BK8"/>
    <mergeCell ref="B5:B6"/>
    <mergeCell ref="C5:C6"/>
    <mergeCell ref="D5:G5"/>
    <mergeCell ref="H5:H6"/>
    <mergeCell ref="I5:L5"/>
    <mergeCell ref="A101:A141"/>
    <mergeCell ref="BH101:BL101"/>
    <mergeCell ref="A148:A188"/>
    <mergeCell ref="BH148:BL148"/>
    <mergeCell ref="A54:A94"/>
    <mergeCell ref="BH54:BL54"/>
    <mergeCell ref="BH55:BK55"/>
    <mergeCell ref="AB108:AB109"/>
    <mergeCell ref="AB155:AB156"/>
    <mergeCell ref="J118:J119"/>
    <mergeCell ref="J165:J166"/>
    <mergeCell ref="BM148:BN148"/>
    <mergeCell ref="BH149:BK149"/>
    <mergeCell ref="AN50:AO50"/>
    <mergeCell ref="BM54:BN54"/>
    <mergeCell ref="AN191:AO191"/>
    <mergeCell ref="AN97:AO97"/>
    <mergeCell ref="BM101:BN101"/>
    <mergeCell ref="BH102:BK102"/>
    <mergeCell ref="AN144:AO14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BU194"/>
  <sheetViews>
    <sheetView zoomScale="85" zoomScaleNormal="85"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8.85546875" style="6" customWidth="1"/>
    <col min="3" max="3" width="34.7109375" style="6" customWidth="1"/>
    <col min="4" max="4" width="16.7109375" style="6" hidden="1" customWidth="1"/>
    <col min="5" max="5" width="10.5703125" style="6" hidden="1" customWidth="1"/>
    <col min="6" max="6" width="10.28515625"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46.7109375" style="6" hidden="1" customWidth="1"/>
    <col min="14" max="17" width="9.7109375" style="6" customWidth="1"/>
    <col min="18" max="18" width="6.42578125" style="6" customWidth="1"/>
    <col min="19" max="19" width="2.7109375" style="6" customWidth="1"/>
    <col min="20" max="20" width="6.28515625" style="6" hidden="1" customWidth="1"/>
    <col min="21" max="21" width="4.42578125" style="6" hidden="1" customWidth="1"/>
    <col min="22" max="22" width="5" style="6" hidden="1" customWidth="1"/>
    <col min="23" max="23" width="5.5703125" style="6" hidden="1" customWidth="1"/>
    <col min="24" max="24" width="7.140625" style="6" hidden="1" customWidth="1"/>
    <col min="25" max="25" width="4.28515625" style="6" hidden="1" customWidth="1"/>
    <col min="26" max="26" width="5" style="6" hidden="1" customWidth="1"/>
    <col min="27" max="27" width="6.42578125" style="6" hidden="1" customWidth="1"/>
    <col min="28" max="28" width="9.28515625" style="6" hidden="1" customWidth="1"/>
    <col min="29" max="29" width="4.42578125" style="6" hidden="1" customWidth="1"/>
    <col min="30" max="30" width="5" style="6" hidden="1" customWidth="1"/>
    <col min="31" max="31" width="5.5703125" style="6" hidden="1" customWidth="1"/>
    <col min="32" max="32" width="41.5703125" style="6" hidden="1" customWidth="1"/>
    <col min="33" max="36" width="9.7109375" style="6" customWidth="1"/>
    <col min="37" max="37" width="6.570312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4.28515625" style="6" hidden="1" customWidth="1"/>
    <col min="45" max="45" width="25.42578125" style="6" hidden="1" customWidth="1"/>
    <col min="46" max="46" width="18.28515625" style="6" hidden="1" customWidth="1"/>
    <col min="47" max="47" width="29.5703125" style="6" hidden="1" customWidth="1"/>
    <col min="48" max="48" width="14.42578125" style="6" hidden="1" customWidth="1"/>
    <col min="49" max="49" width="15.42578125" style="6" hidden="1" customWidth="1"/>
    <col min="50" max="50" width="32.5703125" style="6" hidden="1" customWidth="1"/>
    <col min="51" max="54" width="9.7109375" style="6" customWidth="1"/>
    <col min="55" max="55" width="6.8554687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16384" width="9.140625" style="6"/>
  </cols>
  <sheetData>
    <row r="1" spans="1:73" s="1" customFormat="1" ht="21">
      <c r="A1" s="1" t="s">
        <v>249</v>
      </c>
      <c r="F1" s="227"/>
      <c r="BG1" s="139"/>
    </row>
    <row r="2" spans="1:73" s="157" customFormat="1" ht="13.5" thickBot="1">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259" t="s">
        <v>53</v>
      </c>
      <c r="G4" s="184"/>
      <c r="H4" s="259"/>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176"/>
      <c r="AG4" s="190"/>
      <c r="AH4" s="191" t="s">
        <v>39</v>
      </c>
      <c r="AI4" s="259"/>
      <c r="AJ4" s="259"/>
      <c r="AK4" s="260"/>
      <c r="AL4" s="7"/>
      <c r="AM4" s="181"/>
      <c r="AN4" s="182"/>
      <c r="AO4" s="259" t="s">
        <v>53</v>
      </c>
      <c r="AP4" s="184"/>
      <c r="AQ4" s="188"/>
      <c r="AR4" s="7"/>
      <c r="AS4" s="7"/>
      <c r="AT4" s="7"/>
      <c r="AU4" s="182" t="s">
        <v>41</v>
      </c>
      <c r="AV4" s="186"/>
      <c r="AW4" s="186"/>
      <c r="AX4" s="7"/>
      <c r="AY4" s="190"/>
      <c r="AZ4" s="191" t="s">
        <v>39</v>
      </c>
      <c r="BA4" s="259"/>
      <c r="BB4" s="259"/>
      <c r="BC4" s="260"/>
    </row>
    <row r="5" spans="1:73" ht="25.5">
      <c r="B5" s="720" t="s">
        <v>184</v>
      </c>
      <c r="C5" s="722" t="s">
        <v>185</v>
      </c>
      <c r="D5" s="710" t="s">
        <v>99</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261" t="s">
        <v>63</v>
      </c>
      <c r="AR5" s="7"/>
      <c r="AS5" s="178" t="s">
        <v>49</v>
      </c>
      <c r="AT5" s="178"/>
      <c r="AU5" s="179"/>
      <c r="AV5" s="15"/>
      <c r="AW5" s="180"/>
      <c r="AX5" s="7"/>
      <c r="AY5" s="710" t="s">
        <v>60</v>
      </c>
      <c r="AZ5" s="711"/>
      <c r="BA5" s="711"/>
      <c r="BB5" s="712"/>
      <c r="BC5" s="718" t="s">
        <v>62</v>
      </c>
      <c r="BD5" s="8"/>
    </row>
    <row r="6" spans="1:73" ht="13.5" thickBot="1">
      <c r="B6" s="721"/>
      <c r="C6" s="723"/>
      <c r="D6" s="9" t="s">
        <v>44</v>
      </c>
      <c r="E6" s="10" t="s">
        <v>45</v>
      </c>
      <c r="F6" s="10" t="s">
        <v>46</v>
      </c>
      <c r="G6" s="11" t="s">
        <v>40</v>
      </c>
      <c r="H6" s="719"/>
      <c r="I6" s="297" t="s">
        <v>44</v>
      </c>
      <c r="J6" s="298" t="s">
        <v>45</v>
      </c>
      <c r="K6" s="298" t="s">
        <v>46</v>
      </c>
      <c r="L6" s="299" t="s">
        <v>40</v>
      </c>
      <c r="M6" s="10" t="s">
        <v>48</v>
      </c>
      <c r="N6" s="297" t="s">
        <v>44</v>
      </c>
      <c r="O6" s="298" t="s">
        <v>45</v>
      </c>
      <c r="P6" s="298" t="s">
        <v>46</v>
      </c>
      <c r="Q6" s="299" t="s">
        <v>40</v>
      </c>
      <c r="R6" s="719"/>
      <c r="T6" s="9" t="s">
        <v>44</v>
      </c>
      <c r="U6" s="10" t="s">
        <v>45</v>
      </c>
      <c r="V6" s="10" t="s">
        <v>46</v>
      </c>
      <c r="W6" s="11" t="s">
        <v>40</v>
      </c>
      <c r="X6" s="14" t="s">
        <v>44</v>
      </c>
      <c r="Y6" s="10" t="s">
        <v>45</v>
      </c>
      <c r="Z6" s="10" t="s">
        <v>46</v>
      </c>
      <c r="AA6" s="11" t="s">
        <v>40</v>
      </c>
      <c r="AB6" s="9" t="s">
        <v>44</v>
      </c>
      <c r="AC6" s="10" t="s">
        <v>45</v>
      </c>
      <c r="AD6" s="10" t="s">
        <v>46</v>
      </c>
      <c r="AE6" s="10" t="s">
        <v>40</v>
      </c>
      <c r="AF6" s="262" t="s">
        <v>48</v>
      </c>
      <c r="AG6" s="9" t="s">
        <v>44</v>
      </c>
      <c r="AH6" s="10" t="s">
        <v>45</v>
      </c>
      <c r="AI6" s="10" t="s">
        <v>46</v>
      </c>
      <c r="AJ6" s="10" t="s">
        <v>40</v>
      </c>
      <c r="AK6" s="719"/>
      <c r="AL6" s="258"/>
      <c r="AM6" s="9" t="s">
        <v>44</v>
      </c>
      <c r="AN6" s="10" t="s">
        <v>45</v>
      </c>
      <c r="AO6" s="10" t="s">
        <v>46</v>
      </c>
      <c r="AP6" s="10" t="s">
        <v>40</v>
      </c>
      <c r="AQ6" s="262"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64</v>
      </c>
      <c r="B7" s="16" t="s">
        <v>3</v>
      </c>
      <c r="C7" s="17" t="s">
        <v>16</v>
      </c>
      <c r="D7" s="55"/>
      <c r="E7" s="56"/>
      <c r="F7" s="2"/>
      <c r="G7" s="63"/>
      <c r="H7" s="5"/>
      <c r="I7" s="151"/>
      <c r="J7" s="26"/>
      <c r="K7" s="26"/>
      <c r="L7" s="133"/>
      <c r="M7" s="56"/>
      <c r="N7" s="16"/>
      <c r="O7" s="18"/>
      <c r="P7" s="18"/>
      <c r="Q7" s="244"/>
      <c r="R7" s="24"/>
      <c r="T7" s="55"/>
      <c r="U7" s="56"/>
      <c r="V7" s="110"/>
      <c r="W7" s="199"/>
      <c r="X7" s="198"/>
      <c r="Y7" s="198"/>
      <c r="Z7" s="198"/>
      <c r="AA7" s="272"/>
      <c r="AB7" s="26"/>
      <c r="AC7" s="26"/>
      <c r="AD7" s="26"/>
      <c r="AE7" s="26"/>
      <c r="AF7" s="84"/>
      <c r="AG7" s="20"/>
      <c r="AH7" s="21"/>
      <c r="AI7" s="21"/>
      <c r="AJ7" s="22"/>
      <c r="AK7" s="27"/>
      <c r="AL7" s="19"/>
      <c r="AM7" s="55"/>
      <c r="AN7" s="56"/>
      <c r="AO7" s="2"/>
      <c r="AP7" s="63"/>
      <c r="AQ7" s="67"/>
      <c r="AR7" s="26"/>
      <c r="AS7" s="21"/>
      <c r="AT7" s="21"/>
      <c r="AU7" s="25"/>
      <c r="AV7" s="21"/>
      <c r="AW7" s="22"/>
      <c r="AX7" s="56"/>
      <c r="AY7" s="23"/>
      <c r="AZ7" s="19"/>
      <c r="BA7" s="19"/>
      <c r="BB7" s="19"/>
      <c r="BC7" s="24"/>
      <c r="BD7" s="8"/>
      <c r="BH7" s="700" t="s">
        <v>70</v>
      </c>
      <c r="BI7" s="701"/>
      <c r="BJ7" s="701"/>
      <c r="BK7" s="701"/>
      <c r="BL7" s="702"/>
      <c r="BM7" s="700" t="s">
        <v>71</v>
      </c>
      <c r="BN7" s="702"/>
      <c r="BP7" s="8"/>
      <c r="BQ7" s="8"/>
      <c r="BR7" s="8"/>
      <c r="BS7" s="8"/>
      <c r="BT7" s="8"/>
      <c r="BU7" s="8"/>
    </row>
    <row r="8" spans="1:73">
      <c r="A8" s="699"/>
      <c r="B8" s="23"/>
      <c r="C8" s="17" t="s">
        <v>17</v>
      </c>
      <c r="D8" s="57"/>
      <c r="E8" s="2"/>
      <c r="F8" s="2"/>
      <c r="G8" s="63"/>
      <c r="H8" s="5"/>
      <c r="I8" s="20"/>
      <c r="J8" s="21"/>
      <c r="K8" s="21"/>
      <c r="L8" s="22"/>
      <c r="M8" s="2"/>
      <c r="N8" s="23"/>
      <c r="O8" s="19"/>
      <c r="P8" s="19"/>
      <c r="Q8" s="19"/>
      <c r="R8" s="24"/>
      <c r="T8" s="57"/>
      <c r="U8" s="2"/>
      <c r="V8" s="110"/>
      <c r="W8" s="199"/>
      <c r="X8" s="198"/>
      <c r="Y8" s="198"/>
      <c r="Z8" s="198"/>
      <c r="AA8" s="272"/>
      <c r="AB8" s="21"/>
      <c r="AC8" s="21"/>
      <c r="AD8" s="21"/>
      <c r="AE8" s="21"/>
      <c r="AF8" s="70"/>
      <c r="AG8" s="20"/>
      <c r="AH8" s="21"/>
      <c r="AI8" s="21"/>
      <c r="AJ8" s="22"/>
      <c r="AK8" s="29"/>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
      <c r="F9" s="2"/>
      <c r="G9" s="63"/>
      <c r="H9" s="5"/>
      <c r="I9" s="20"/>
      <c r="J9" s="21"/>
      <c r="K9" s="21"/>
      <c r="L9" s="22"/>
      <c r="M9" s="2"/>
      <c r="N9" s="23"/>
      <c r="O9" s="19"/>
      <c r="P9" s="19"/>
      <c r="Q9" s="19"/>
      <c r="R9" s="24"/>
      <c r="T9" s="57"/>
      <c r="U9" s="2"/>
      <c r="V9" s="110"/>
      <c r="W9" s="199"/>
      <c r="X9" s="198"/>
      <c r="Y9" s="198"/>
      <c r="Z9" s="198"/>
      <c r="AA9" s="272"/>
      <c r="AB9" s="21"/>
      <c r="AC9" s="21"/>
      <c r="AD9" s="21"/>
      <c r="AE9" s="21"/>
      <c r="AF9" s="70"/>
      <c r="AG9" s="20"/>
      <c r="AH9" s="21"/>
      <c r="AI9" s="21"/>
      <c r="AJ9" s="22"/>
      <c r="AK9" s="29"/>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
      <c r="N10" s="23"/>
      <c r="O10" s="19"/>
      <c r="P10" s="19"/>
      <c r="Q10" s="19"/>
      <c r="R10" s="24"/>
      <c r="T10" s="57"/>
      <c r="U10" s="2"/>
      <c r="V10" s="110"/>
      <c r="W10" s="199"/>
      <c r="X10" s="198"/>
      <c r="Y10" s="198"/>
      <c r="Z10" s="198"/>
      <c r="AA10" s="274"/>
      <c r="AB10" s="21"/>
      <c r="AC10" s="21"/>
      <c r="AD10" s="21"/>
      <c r="AE10" s="21"/>
      <c r="AF10" s="70"/>
      <c r="AG10" s="20"/>
      <c r="AH10" s="21"/>
      <c r="AI10" s="21"/>
      <c r="AJ10" s="22"/>
      <c r="AK10" s="29"/>
      <c r="AL10" s="19"/>
      <c r="AM10" s="57"/>
      <c r="AN10" s="2"/>
      <c r="AO10" s="2"/>
      <c r="AP10" s="63"/>
      <c r="AQ10" s="68"/>
      <c r="AR10" s="21"/>
      <c r="AS10" s="21"/>
      <c r="AT10" s="21"/>
      <c r="AU10" s="25"/>
      <c r="AV10" s="21"/>
      <c r="AW10" s="22"/>
      <c r="AX10" s="2"/>
      <c r="AY10" s="23"/>
      <c r="AZ10" s="19"/>
      <c r="BA10" s="19"/>
      <c r="BB10" s="19"/>
      <c r="BC10" s="24"/>
      <c r="BD10" s="30"/>
      <c r="BG10" s="145" t="s">
        <v>72</v>
      </c>
      <c r="BH10" s="52">
        <f>N50/1000</f>
        <v>115.25616749664844</v>
      </c>
      <c r="BI10" s="52">
        <f>O50/1000</f>
        <v>37.739951001677284</v>
      </c>
      <c r="BJ10" s="52">
        <f>P50/1000</f>
        <v>123.27956952665539</v>
      </c>
      <c r="BK10" s="53">
        <f>Q50/1000</f>
        <v>276.27568802498115</v>
      </c>
      <c r="BL10" s="54">
        <f>R50/1000</f>
        <v>1.1973307447028994</v>
      </c>
      <c r="BM10" s="51">
        <f>Q51/1000</f>
        <v>276.27568802498115</v>
      </c>
      <c r="BN10" s="54">
        <f>R51/1000</f>
        <v>1.1973307447028994</v>
      </c>
      <c r="BP10" s="30"/>
      <c r="BQ10" s="30"/>
      <c r="BR10" s="30"/>
      <c r="BS10" s="31"/>
      <c r="BT10" s="31"/>
      <c r="BU10" s="32"/>
    </row>
    <row r="11" spans="1:73">
      <c r="A11" s="699"/>
      <c r="B11" s="23"/>
      <c r="C11" s="17" t="s">
        <v>183</v>
      </c>
      <c r="D11" s="57"/>
      <c r="E11" s="2"/>
      <c r="F11" s="2"/>
      <c r="G11" s="63"/>
      <c r="H11" s="2"/>
      <c r="I11" s="20"/>
      <c r="J11" s="21"/>
      <c r="K11" s="21"/>
      <c r="L11" s="22"/>
      <c r="M11" s="2"/>
      <c r="N11" s="23"/>
      <c r="O11" s="19"/>
      <c r="P11" s="19"/>
      <c r="Q11" s="19"/>
      <c r="R11" s="33"/>
      <c r="T11" s="57"/>
      <c r="U11" s="2"/>
      <c r="V11" s="110"/>
      <c r="W11" s="199"/>
      <c r="X11" s="198"/>
      <c r="Y11" s="198"/>
      <c r="Z11" s="198"/>
      <c r="AA11" s="274"/>
      <c r="AB11" s="21"/>
      <c r="AC11" s="21"/>
      <c r="AD11" s="21"/>
      <c r="AE11" s="21"/>
      <c r="AF11" s="70"/>
      <c r="AG11" s="20"/>
      <c r="AH11" s="21"/>
      <c r="AI11" s="21"/>
      <c r="AJ11" s="22"/>
      <c r="AK11" s="29"/>
      <c r="AL11" s="19"/>
      <c r="AM11" s="57"/>
      <c r="AN11" s="2"/>
      <c r="AO11" s="2"/>
      <c r="AP11" s="63"/>
      <c r="AQ11" s="68"/>
      <c r="AR11" s="21"/>
      <c r="AS11" s="21"/>
      <c r="AT11" s="21"/>
      <c r="AU11" s="25"/>
      <c r="AV11" s="21"/>
      <c r="AW11" s="22"/>
      <c r="AX11" s="2"/>
      <c r="AY11" s="23"/>
      <c r="AZ11" s="19"/>
      <c r="BA11" s="19"/>
      <c r="BB11" s="19"/>
      <c r="BC11" s="24"/>
      <c r="BD11" s="30"/>
      <c r="BG11" s="77" t="s">
        <v>68</v>
      </c>
      <c r="BH11" s="52">
        <f>AG50/1000</f>
        <v>13.555261369799334</v>
      </c>
      <c r="BI11" s="584">
        <f>AH50/1000</f>
        <v>0.43683</v>
      </c>
      <c r="BJ11" s="52">
        <f>AI50/1000</f>
        <v>0</v>
      </c>
      <c r="BK11" s="53">
        <f>AJ50/1000</f>
        <v>13.992091369799335</v>
      </c>
      <c r="BL11" s="54">
        <f>AK50/1000</f>
        <v>6.0639288601601483E-2</v>
      </c>
      <c r="BM11" s="51">
        <f>AJ51/1000</f>
        <v>13.992091369799335</v>
      </c>
      <c r="BN11" s="54">
        <f>AK51/1000</f>
        <v>6.0639288601601483E-2</v>
      </c>
    </row>
    <row r="12" spans="1:73" s="106" customFormat="1">
      <c r="A12" s="699"/>
      <c r="B12" s="107" t="s">
        <v>67</v>
      </c>
      <c r="C12" s="108"/>
      <c r="D12" s="109"/>
      <c r="E12" s="110"/>
      <c r="F12" s="110"/>
      <c r="G12" s="63"/>
      <c r="H12" s="110"/>
      <c r="I12" s="112">
        <f>D50*'[2]Lfill en &amp; composn'!B$133</f>
        <v>6246.2978570548339</v>
      </c>
      <c r="J12" s="113">
        <f>E50*'[2]C&amp;I composn'!$E$10</f>
        <v>1661.570228189122</v>
      </c>
      <c r="K12" s="113">
        <f>F50*'[2]Lfill en &amp; composn'!C$133</f>
        <v>69548.985023641697</v>
      </c>
      <c r="L12" s="114">
        <f>SUM(I12:K12)</f>
        <v>77456.853108885654</v>
      </c>
      <c r="M12" s="110"/>
      <c r="N12" s="112">
        <f>I12</f>
        <v>6246.2978570548339</v>
      </c>
      <c r="O12" s="113">
        <f>J12</f>
        <v>1661.570228189122</v>
      </c>
      <c r="P12" s="113">
        <f>K12</f>
        <v>69548.985023641697</v>
      </c>
      <c r="Q12" s="114">
        <f>SUM(N12:P12)</f>
        <v>77456.853108885654</v>
      </c>
      <c r="R12" s="115">
        <f>Q12/[2]Popn!$D$43*1000</f>
        <v>335.68451961223377</v>
      </c>
      <c r="T12" s="109"/>
      <c r="U12" s="110"/>
      <c r="V12" s="110"/>
      <c r="W12" s="203"/>
      <c r="X12" s="130"/>
      <c r="Y12" s="130"/>
      <c r="Z12" s="130"/>
      <c r="AA12" s="276"/>
      <c r="AB12" s="113"/>
      <c r="AC12" s="113"/>
      <c r="AD12" s="113"/>
      <c r="AE12" s="113"/>
      <c r="AF12" s="117"/>
      <c r="AG12" s="112"/>
      <c r="AH12" s="113"/>
      <c r="AI12" s="113"/>
      <c r="AJ12" s="114">
        <f>SUM(AJ7:AJ11)</f>
        <v>0</v>
      </c>
      <c r="AK12" s="118">
        <f>AJ12/[2]Popn!$D$43*1000</f>
        <v>0</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9.4913340946544462</v>
      </c>
      <c r="BI12" s="52">
        <f>AZ50/1000</f>
        <v>2.8755146327004066</v>
      </c>
      <c r="BJ12" s="52">
        <f>BA50/1000</f>
        <v>1.4651446862884423</v>
      </c>
      <c r="BK12" s="53">
        <f>BB50/1000</f>
        <v>13.831993413643296</v>
      </c>
      <c r="BL12" s="54">
        <f>BC50/1000</f>
        <v>5.9945451925489814E-2</v>
      </c>
      <c r="BM12" s="51">
        <f>BB51/1000</f>
        <v>13.831993413643296</v>
      </c>
      <c r="BN12" s="54">
        <f>BC51/1000</f>
        <v>5.9945451925489814E-2</v>
      </c>
      <c r="BO12" s="6"/>
    </row>
    <row r="13" spans="1:73">
      <c r="A13" s="699"/>
      <c r="B13" s="23" t="s">
        <v>4</v>
      </c>
      <c r="C13" s="17" t="s">
        <v>19</v>
      </c>
      <c r="D13" s="57"/>
      <c r="E13" s="2"/>
      <c r="F13" s="2"/>
      <c r="G13" s="63"/>
      <c r="H13" s="2"/>
      <c r="I13" s="20"/>
      <c r="J13" s="21">
        <f>E50*'[2]C&amp;I composn'!$E$11</f>
        <v>1104.3426706351979</v>
      </c>
      <c r="K13" s="21"/>
      <c r="L13" s="22"/>
      <c r="M13" s="2"/>
      <c r="N13" s="23"/>
      <c r="O13" s="19"/>
      <c r="P13" s="19"/>
      <c r="Q13" s="19"/>
      <c r="R13" s="33"/>
      <c r="T13" s="201">
        <f>[2]NT!Q55</f>
        <v>169</v>
      </c>
      <c r="U13" s="198">
        <f>[2]NT!Y55</f>
        <v>55.12</v>
      </c>
      <c r="V13" s="110"/>
      <c r="W13" s="199"/>
      <c r="X13" s="198">
        <f>[2]NT!$L$26</f>
        <v>122.4</v>
      </c>
      <c r="Y13" s="198"/>
      <c r="Z13" s="198"/>
      <c r="AA13" s="643"/>
      <c r="AB13" s="21">
        <f>T13+X13</f>
        <v>291.39999999999998</v>
      </c>
      <c r="AC13" s="21">
        <f>U13</f>
        <v>55.12</v>
      </c>
      <c r="AD13" s="21"/>
      <c r="AE13" s="21"/>
      <c r="AF13" s="70"/>
      <c r="AG13" s="20">
        <f>AB13</f>
        <v>291.39999999999998</v>
      </c>
      <c r="AH13" s="21">
        <f>AC13</f>
        <v>55.12</v>
      </c>
      <c r="AI13" s="21"/>
      <c r="AJ13" s="22"/>
      <c r="AK13" s="29"/>
      <c r="AL13" s="19"/>
      <c r="AM13" s="57"/>
      <c r="AN13" s="2"/>
      <c r="AO13" s="2"/>
      <c r="AP13" s="63"/>
      <c r="AQ13" s="68"/>
      <c r="AR13" s="21"/>
      <c r="AS13" s="21"/>
      <c r="AT13" s="21"/>
      <c r="AU13" s="25"/>
      <c r="AV13" s="21"/>
      <c r="AW13" s="22"/>
      <c r="AX13" s="2"/>
      <c r="AY13" s="23"/>
      <c r="AZ13" s="19"/>
      <c r="BA13" s="19"/>
      <c r="BB13" s="19"/>
      <c r="BC13" s="24"/>
      <c r="BD13" s="30"/>
      <c r="BG13" s="145" t="s">
        <v>73</v>
      </c>
      <c r="BH13" s="86">
        <f>SUM(BH11:BH12)/BH14</f>
        <v>0.16663872052169815</v>
      </c>
      <c r="BI13" s="86">
        <f t="shared" ref="BI13:BN13" si="0">SUM(BI11:BI12)/BI14</f>
        <v>8.0685978250790172E-2</v>
      </c>
      <c r="BJ13" s="86">
        <f t="shared" si="0"/>
        <v>1.1745144437842763E-2</v>
      </c>
      <c r="BK13" s="87">
        <f t="shared" si="0"/>
        <v>9.1496565507042313E-2</v>
      </c>
      <c r="BL13" s="87">
        <f t="shared" si="0"/>
        <v>9.1496565507042313E-2</v>
      </c>
      <c r="BM13" s="88">
        <f t="shared" si="0"/>
        <v>9.1496565507042313E-2</v>
      </c>
      <c r="BN13" s="87">
        <f t="shared" si="0"/>
        <v>9.1496565507042313E-2</v>
      </c>
    </row>
    <row r="14" spans="1:73">
      <c r="A14" s="699"/>
      <c r="B14" s="23"/>
      <c r="C14" s="17" t="s">
        <v>20</v>
      </c>
      <c r="D14" s="57"/>
      <c r="E14" s="2"/>
      <c r="F14" s="2"/>
      <c r="G14" s="63"/>
      <c r="H14" s="2"/>
      <c r="I14" s="20"/>
      <c r="J14" s="21">
        <f>E50*'[2]C&amp;I composn'!$E$12</f>
        <v>143.49605672392585</v>
      </c>
      <c r="K14" s="21"/>
      <c r="L14" s="22"/>
      <c r="M14" s="2"/>
      <c r="N14" s="23"/>
      <c r="O14" s="19"/>
      <c r="P14" s="19"/>
      <c r="Q14" s="19"/>
      <c r="R14" s="33"/>
      <c r="T14" s="201">
        <f>[2]NT!Q56</f>
        <v>66</v>
      </c>
      <c r="U14" s="198">
        <f>[2]NT!Y56</f>
        <v>309.39</v>
      </c>
      <c r="V14" s="110"/>
      <c r="W14" s="199"/>
      <c r="X14" s="198">
        <f>[2]NT!$L$25</f>
        <v>106.7</v>
      </c>
      <c r="Y14" s="198"/>
      <c r="Z14" s="198"/>
      <c r="AA14" s="643"/>
      <c r="AB14" s="21">
        <f>T14+X14</f>
        <v>172.7</v>
      </c>
      <c r="AC14" s="21">
        <f>U14</f>
        <v>309.39</v>
      </c>
      <c r="AD14" s="21"/>
      <c r="AE14" s="21"/>
      <c r="AF14" s="70"/>
      <c r="AG14" s="20">
        <f>AB14</f>
        <v>172.7</v>
      </c>
      <c r="AH14" s="21">
        <f>AC14</f>
        <v>309.39</v>
      </c>
      <c r="AI14" s="21"/>
      <c r="AJ14" s="22"/>
      <c r="AK14" s="29"/>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1">SUM(BH10:BH12)</f>
        <v>138.30276296110222</v>
      </c>
      <c r="BI14" s="52">
        <f t="shared" si="1"/>
        <v>41.052295634377693</v>
      </c>
      <c r="BJ14" s="52">
        <f t="shared" si="1"/>
        <v>124.74471421294383</v>
      </c>
      <c r="BK14" s="74">
        <f t="shared" si="1"/>
        <v>304.09977280842378</v>
      </c>
      <c r="BL14" s="76">
        <f t="shared" si="1"/>
        <v>1.3179154852299906</v>
      </c>
      <c r="BM14" s="81">
        <f t="shared" si="1"/>
        <v>304.09977280842378</v>
      </c>
      <c r="BN14" s="76">
        <f t="shared" si="1"/>
        <v>1.3179154852299906</v>
      </c>
    </row>
    <row r="15" spans="1:73">
      <c r="A15" s="699"/>
      <c r="B15" s="23"/>
      <c r="C15" s="17" t="s">
        <v>21</v>
      </c>
      <c r="D15" s="57"/>
      <c r="E15" s="2"/>
      <c r="F15" s="2"/>
      <c r="G15" s="63"/>
      <c r="H15" s="2"/>
      <c r="I15" s="20"/>
      <c r="J15" s="21">
        <f>E50*'[2]C&amp;I composn'!$E$13</f>
        <v>0.24237664572045789</v>
      </c>
      <c r="K15" s="21"/>
      <c r="L15" s="22"/>
      <c r="M15" s="2"/>
      <c r="N15" s="23"/>
      <c r="O15" s="19"/>
      <c r="P15" s="19"/>
      <c r="Q15" s="19"/>
      <c r="R15" s="33"/>
      <c r="T15" s="201"/>
      <c r="U15" s="198"/>
      <c r="V15" s="110"/>
      <c r="W15" s="199"/>
      <c r="X15" s="2"/>
      <c r="Y15" s="198"/>
      <c r="Z15" s="198"/>
      <c r="AA15" s="643"/>
      <c r="AB15" s="21"/>
      <c r="AC15" s="21"/>
      <c r="AD15" s="21"/>
      <c r="AE15" s="21"/>
      <c r="AF15" s="70"/>
      <c r="AG15" s="20"/>
      <c r="AH15" s="21"/>
      <c r="AI15" s="21"/>
      <c r="AJ15" s="22"/>
      <c r="AK15" s="29"/>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63"/>
      <c r="H16" s="110"/>
      <c r="I16" s="112">
        <f>D50*'[2]Lfill en &amp; composn'!B$134</f>
        <v>4353.4746397874087</v>
      </c>
      <c r="J16" s="113">
        <f>SUM(J13:J15)</f>
        <v>1248.0811040048443</v>
      </c>
      <c r="K16" s="113">
        <f>F50*'[2]Lfill en &amp; composn'!C$134</f>
        <v>4319.0463344688878</v>
      </c>
      <c r="L16" s="114">
        <f>SUM(I16:K16)</f>
        <v>9920.6020782611413</v>
      </c>
      <c r="M16" s="110"/>
      <c r="N16" s="112">
        <f>I16</f>
        <v>4353.4746397874087</v>
      </c>
      <c r="O16" s="113">
        <f>J16</f>
        <v>1248.0811040048443</v>
      </c>
      <c r="P16" s="113">
        <f>K16</f>
        <v>4319.0463344688878</v>
      </c>
      <c r="Q16" s="114">
        <f>SUM(N16:P16)</f>
        <v>9920.6020782611413</v>
      </c>
      <c r="R16" s="115">
        <f>Q16/[2]Popn!$D$43*1000</f>
        <v>42.994162675622405</v>
      </c>
      <c r="T16" s="201"/>
      <c r="U16" s="198"/>
      <c r="V16" s="110"/>
      <c r="W16" s="203"/>
      <c r="X16" s="110"/>
      <c r="Y16" s="130"/>
      <c r="Z16" s="130"/>
      <c r="AA16" s="644"/>
      <c r="AB16" s="113"/>
      <c r="AC16" s="113"/>
      <c r="AD16" s="113"/>
      <c r="AE16" s="113"/>
      <c r="AF16" s="293"/>
      <c r="AG16" s="112">
        <f>SUM(AG13:AG15)</f>
        <v>464.09999999999997</v>
      </c>
      <c r="AH16" s="113">
        <f>SUM(AH13:AH15)</f>
        <v>364.51</v>
      </c>
      <c r="AI16" s="113"/>
      <c r="AJ16" s="114">
        <f>SUM(AG16:AI16)</f>
        <v>828.6099999999999</v>
      </c>
      <c r="AK16" s="118">
        <f>AJ16/[2]Popn!$D$43*1000</f>
        <v>3.5910515161890064</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57"/>
      <c r="E17" s="2"/>
      <c r="F17" s="2"/>
      <c r="G17" s="63"/>
      <c r="H17" s="2"/>
      <c r="I17" s="20"/>
      <c r="J17" s="21">
        <f>E50*'[2]C&amp;I composn'!$E$14</f>
        <v>10418.394188739723</v>
      </c>
      <c r="K17" s="21"/>
      <c r="L17" s="22"/>
      <c r="M17" s="2"/>
      <c r="N17" s="20"/>
      <c r="O17" s="21"/>
      <c r="P17" s="21"/>
      <c r="Q17" s="21"/>
      <c r="R17" s="34"/>
      <c r="T17" s="201"/>
      <c r="U17" s="198"/>
      <c r="V17" s="110"/>
      <c r="W17" s="199"/>
      <c r="X17" s="2"/>
      <c r="Y17" s="198"/>
      <c r="Z17" s="198"/>
      <c r="AA17" s="643"/>
      <c r="AB17" s="21"/>
      <c r="AC17" s="21"/>
      <c r="AD17" s="21"/>
      <c r="AE17" s="21"/>
      <c r="AF17" s="70"/>
      <c r="AG17" s="20"/>
      <c r="AH17" s="21"/>
      <c r="AI17" s="21"/>
      <c r="AJ17" s="22"/>
      <c r="AK17" s="29"/>
      <c r="AL17" s="19"/>
      <c r="AM17" s="57"/>
      <c r="AN17" s="2"/>
      <c r="AO17" s="2"/>
      <c r="AP17" s="63"/>
      <c r="AQ17" s="70"/>
      <c r="AR17" s="21">
        <f>L22*'[2]Lfill en &amp; composn'!$D$82/SUM('[2]Lfill en &amp; composn'!$D$82,'[2]Lfill en &amp; composn'!$D$84:$D$85,'[2]Lfill en &amp; composn'!$D$87:$D$88)*'[2]Lfill en &amp; composn'!$D$16</f>
        <v>6688.9702658242604</v>
      </c>
      <c r="AS17" s="35">
        <f>AR17/SUM($AR$7:$AR$49)</f>
        <v>0.39257855191238272</v>
      </c>
      <c r="AT17" s="21">
        <f>AS17*'[2]Lfill en &amp; composn'!$D$64/'[2]Lfill en &amp; composn'!$B$16</f>
        <v>7964.1813605568605</v>
      </c>
      <c r="AU17" s="25"/>
      <c r="AV17" s="21"/>
      <c r="AW17" s="22"/>
      <c r="AX17" s="82"/>
      <c r="AY17" s="20"/>
      <c r="AZ17" s="21"/>
      <c r="BA17" s="21"/>
      <c r="BB17" s="21"/>
      <c r="BC17" s="29"/>
      <c r="BD17" s="30"/>
      <c r="BJ17" s="427" t="s">
        <v>138</v>
      </c>
      <c r="BK17" s="428" t="str">
        <f>IF(SUM(BH11:BJ11)=BK11,"OK","Problem")</f>
        <v>OK</v>
      </c>
    </row>
    <row r="18" spans="1:67">
      <c r="A18" s="699"/>
      <c r="B18" s="23"/>
      <c r="C18" s="17" t="s">
        <v>23</v>
      </c>
      <c r="D18" s="57"/>
      <c r="E18" s="2"/>
      <c r="F18" s="2"/>
      <c r="G18" s="63"/>
      <c r="H18" s="2"/>
      <c r="I18" s="20"/>
      <c r="J18" s="21">
        <f>E50*'[2]C&amp;I composn'!$E$15</f>
        <v>386.08404743697321</v>
      </c>
      <c r="K18" s="21"/>
      <c r="L18" s="22"/>
      <c r="M18" s="2"/>
      <c r="N18" s="20"/>
      <c r="O18" s="21"/>
      <c r="P18" s="21"/>
      <c r="Q18" s="21"/>
      <c r="R18" s="34"/>
      <c r="T18" s="201"/>
      <c r="U18" s="198"/>
      <c r="V18" s="110"/>
      <c r="W18" s="199"/>
      <c r="X18" s="2"/>
      <c r="Y18" s="198"/>
      <c r="Z18" s="198"/>
      <c r="AA18" s="643"/>
      <c r="AB18" s="21"/>
      <c r="AC18" s="21"/>
      <c r="AD18" s="21"/>
      <c r="AE18" s="21"/>
      <c r="AF18" s="70"/>
      <c r="AG18" s="20"/>
      <c r="AH18" s="21"/>
      <c r="AI18" s="21"/>
      <c r="AJ18" s="22"/>
      <c r="AK18" s="29"/>
      <c r="AL18" s="19"/>
      <c r="AM18" s="57"/>
      <c r="AN18" s="2"/>
      <c r="AO18" s="2"/>
      <c r="AP18" s="63"/>
      <c r="AQ18" s="68"/>
      <c r="AR18" s="21">
        <f>L22*'[2]Lfill en &amp; composn'!$D$84/SUM('[2]Lfill en &amp; composn'!$D$82,'[2]Lfill en &amp; composn'!$D$84:$D$85,'[2]Lfill en &amp; composn'!$D$87:$D$88)*'[2]Lfill en &amp; composn'!$D$18</f>
        <v>2352.7917042259478</v>
      </c>
      <c r="AS18" s="35">
        <f>AR18/SUM($AR$7:$AR$49)</f>
        <v>0.13808636060406684</v>
      </c>
      <c r="AT18" s="21">
        <f>AS18*'[2]Lfill en &amp; composn'!$D$64/'[2]Lfill en &amp; composn'!$B$18</f>
        <v>2101.0027431060876</v>
      </c>
      <c r="AU18" s="25"/>
      <c r="AV18" s="21"/>
      <c r="AW18" s="22"/>
      <c r="AX18" s="2"/>
      <c r="AY18" s="20"/>
      <c r="AZ18" s="21"/>
      <c r="BA18" s="21"/>
      <c r="BB18" s="21"/>
      <c r="BC18" s="29"/>
      <c r="BD18" s="36"/>
    </row>
    <row r="19" spans="1:67">
      <c r="A19" s="699"/>
      <c r="B19" s="23"/>
      <c r="C19" s="17" t="s">
        <v>24</v>
      </c>
      <c r="D19" s="57"/>
      <c r="E19" s="2"/>
      <c r="F19" s="2"/>
      <c r="G19" s="63"/>
      <c r="H19" s="2"/>
      <c r="I19" s="20"/>
      <c r="J19" s="21">
        <f>E50*'[2]C&amp;I composn'!$E$16</f>
        <v>3460.0459727652296</v>
      </c>
      <c r="K19" s="21"/>
      <c r="L19" s="22"/>
      <c r="M19" s="2"/>
      <c r="N19" s="20"/>
      <c r="O19" s="21"/>
      <c r="P19" s="21"/>
      <c r="Q19" s="21"/>
      <c r="R19" s="34"/>
      <c r="T19" s="201"/>
      <c r="U19" s="198"/>
      <c r="V19" s="110"/>
      <c r="W19" s="199"/>
      <c r="X19" s="2"/>
      <c r="Y19" s="198"/>
      <c r="Z19" s="198"/>
      <c r="AA19" s="643"/>
      <c r="AB19" s="21"/>
      <c r="AC19" s="21"/>
      <c r="AD19" s="21"/>
      <c r="AE19" s="21"/>
      <c r="AF19" s="70"/>
      <c r="AG19" s="20"/>
      <c r="AH19" s="21"/>
      <c r="AI19" s="21"/>
      <c r="AJ19" s="22"/>
      <c r="AK19" s="29"/>
      <c r="AL19" s="19"/>
      <c r="AM19" s="57"/>
      <c r="AN19" s="2"/>
      <c r="AO19" s="2"/>
      <c r="AP19" s="63"/>
      <c r="AQ19" s="70"/>
      <c r="AR19" s="21">
        <f>L22*'[2]Lfill en &amp; composn'!$D$85/SUM('[2]Lfill en &amp; composn'!$D$82,'[2]Lfill en &amp; composn'!$D$84:$D$85,'[2]Lfill en &amp; composn'!$D$87:$D$88)*'[2]Lfill en &amp; composn'!$D$19</f>
        <v>1383.8028433530617</v>
      </c>
      <c r="AS19" s="35">
        <f>AR19/SUM($AR$7:$AR$49)</f>
        <v>8.1215986136371265E-2</v>
      </c>
      <c r="AT19" s="21">
        <f>AS19*'[2]Lfill en &amp; composn'!$D$64/'[2]Lfill en &amp; composn'!$B$19</f>
        <v>574.74989146875851</v>
      </c>
      <c r="AU19" s="25"/>
      <c r="AV19" s="21"/>
      <c r="AW19" s="22"/>
      <c r="AX19" s="2"/>
      <c r="AY19" s="20"/>
      <c r="AZ19" s="21"/>
      <c r="BA19" s="21"/>
      <c r="BB19" s="21"/>
      <c r="BC19" s="29"/>
    </row>
    <row r="20" spans="1:67">
      <c r="A20" s="699"/>
      <c r="B20" s="23"/>
      <c r="C20" s="17" t="s">
        <v>25</v>
      </c>
      <c r="D20" s="57"/>
      <c r="E20" s="2"/>
      <c r="F20" s="2"/>
      <c r="G20" s="63"/>
      <c r="H20" s="2"/>
      <c r="I20" s="20"/>
      <c r="J20" s="21">
        <f>E50*'[2]C&amp;I composn'!$E$17</f>
        <v>3055.2440887655275</v>
      </c>
      <c r="K20" s="21"/>
      <c r="L20" s="22"/>
      <c r="M20" s="2"/>
      <c r="N20" s="20"/>
      <c r="O20" s="21"/>
      <c r="P20" s="21"/>
      <c r="Q20" s="21"/>
      <c r="R20" s="34"/>
      <c r="T20" s="201"/>
      <c r="U20" s="198"/>
      <c r="V20" s="110"/>
      <c r="W20" s="199"/>
      <c r="X20" s="2"/>
      <c r="Y20" s="198"/>
      <c r="Z20" s="198"/>
      <c r="AA20" s="643"/>
      <c r="AB20" s="21"/>
      <c r="AC20" s="21"/>
      <c r="AD20" s="21"/>
      <c r="AE20" s="21"/>
      <c r="AF20" s="70"/>
      <c r="AG20" s="20"/>
      <c r="AH20" s="21"/>
      <c r="AI20" s="21"/>
      <c r="AJ20" s="22"/>
      <c r="AK20" s="29"/>
      <c r="AL20" s="19"/>
      <c r="AM20" s="57"/>
      <c r="AN20" s="2"/>
      <c r="AO20" s="2"/>
      <c r="AP20" s="63"/>
      <c r="AQ20" s="68"/>
      <c r="AR20" s="21">
        <f>L22*'[2]Lfill en &amp; composn'!$D$93/SUM('[2]Lfill en &amp; composn'!$D$82,'[2]Lfill en &amp; composn'!$D$84:$D$85,'[2]Lfill en &amp; composn'!$D$87:$D$88)*'[2]Lfill en &amp; composn'!$D$24</f>
        <v>606.7093211631983</v>
      </c>
      <c r="AS20" s="35">
        <f>AR20/SUM($AR$7:$AR$49)</f>
        <v>3.5608031919490503E-2</v>
      </c>
      <c r="AT20" s="21">
        <f>AS20*'[2]Lfill en &amp; composn'!$D$64/'[2]Lfill en &amp; composn'!$B$24</f>
        <v>451.4842041132008</v>
      </c>
      <c r="AU20" s="25"/>
      <c r="AV20" s="21"/>
      <c r="AW20" s="22"/>
      <c r="AX20" s="83"/>
      <c r="AY20" s="20"/>
      <c r="AZ20" s="21"/>
      <c r="BA20" s="21"/>
      <c r="BB20" s="21"/>
      <c r="BC20" s="29"/>
    </row>
    <row r="21" spans="1:67">
      <c r="A21" s="699"/>
      <c r="B21" s="23"/>
      <c r="C21" s="17" t="s">
        <v>0</v>
      </c>
      <c r="D21" s="201"/>
      <c r="E21" s="2"/>
      <c r="F21" s="2"/>
      <c r="G21" s="199"/>
      <c r="H21" s="198">
        <f>[2]Biosolids!$D$192</f>
        <v>500.41508483768496</v>
      </c>
      <c r="I21" s="112"/>
      <c r="J21" s="113"/>
      <c r="K21" s="113"/>
      <c r="L21" s="22"/>
      <c r="M21" s="68" t="s">
        <v>193</v>
      </c>
      <c r="N21" s="20">
        <f>H21</f>
        <v>500.41508483768496</v>
      </c>
      <c r="O21" s="19"/>
      <c r="P21" s="19"/>
      <c r="Q21" s="19"/>
      <c r="R21" s="34"/>
      <c r="T21" s="201"/>
      <c r="U21" s="198"/>
      <c r="V21" s="110"/>
      <c r="W21" s="199"/>
      <c r="X21" s="198">
        <f>[2]Biosolids!$D$191</f>
        <v>4159.7613697993338</v>
      </c>
      <c r="Y21" s="198"/>
      <c r="Z21" s="198"/>
      <c r="AA21" s="643"/>
      <c r="AB21" s="21">
        <f>X21</f>
        <v>4159.7613697993338</v>
      </c>
      <c r="AC21" s="21"/>
      <c r="AD21" s="21"/>
      <c r="AE21" s="21"/>
      <c r="AF21" s="68" t="s">
        <v>193</v>
      </c>
      <c r="AG21" s="20">
        <f>AB21</f>
        <v>4159.7613697993338</v>
      </c>
      <c r="AH21" s="21"/>
      <c r="AI21" s="21"/>
      <c r="AJ21" s="22"/>
      <c r="AK21" s="29"/>
      <c r="AL21" s="19"/>
      <c r="AM21" s="57"/>
      <c r="AN21" s="2"/>
      <c r="AO21" s="2"/>
      <c r="AP21" s="63"/>
      <c r="AQ21" s="68"/>
      <c r="AR21" s="21">
        <f>L22*'[2]Lfill en &amp; composn'!$D$87/SUM('[2]Lfill en &amp; composn'!$D$82,'[2]Lfill en &amp; composn'!$D$84:$D$85,'[2]Lfill en &amp; composn'!$D$87:$D$88)*'[2]Lfill en &amp; composn'!$D$21</f>
        <v>15.432286512145309</v>
      </c>
      <c r="AS21" s="35">
        <f>AR21/SUM($AR$7:$AR$49)</f>
        <v>9.0572755609169163E-4</v>
      </c>
      <c r="AT21" s="21">
        <f>AS21*'[2]Lfill en &amp; composn'!$D$64/'[2]Lfill en &amp; composn'!$B$21</f>
        <v>55.123071432425675</v>
      </c>
      <c r="AU21" s="25"/>
      <c r="AV21" s="21"/>
      <c r="AW21" s="22"/>
      <c r="AX21" s="2"/>
      <c r="AY21" s="23"/>
      <c r="AZ21" s="19"/>
      <c r="BA21" s="19"/>
      <c r="BB21" s="21"/>
      <c r="BC21" s="24"/>
    </row>
    <row r="22" spans="1:67" s="106" customFormat="1">
      <c r="A22" s="699"/>
      <c r="B22" s="107" t="s">
        <v>67</v>
      </c>
      <c r="C22" s="108"/>
      <c r="D22" s="109"/>
      <c r="E22" s="110"/>
      <c r="F22" s="110"/>
      <c r="G22" s="63"/>
      <c r="H22" s="110"/>
      <c r="I22" s="112">
        <f>D50*'[2]Lfill en &amp; composn'!B$135</f>
        <v>70482.338399086148</v>
      </c>
      <c r="J22" s="113">
        <f>SUM(J17:J21)</f>
        <v>17319.768297707455</v>
      </c>
      <c r="K22" s="113">
        <f>F50*'[2]Lfill en &amp; composn'!C$135</f>
        <v>9979.8001273042319</v>
      </c>
      <c r="L22" s="114">
        <f>SUM(I22:K22)</f>
        <v>97781.906824097838</v>
      </c>
      <c r="M22" s="110"/>
      <c r="N22" s="112">
        <f>I22-AU22</f>
        <v>62447.781502659942</v>
      </c>
      <c r="O22" s="113">
        <f>J22-AV22</f>
        <v>15345.420298171537</v>
      </c>
      <c r="P22" s="113">
        <f>K22-AW22</f>
        <v>8842.1637525890183</v>
      </c>
      <c r="Q22" s="114">
        <f>SUM(N22:P22)</f>
        <v>86635.365553420503</v>
      </c>
      <c r="R22" s="115">
        <f>Q22/[2]Popn!$D$43*1000</f>
        <v>375.46259497978491</v>
      </c>
      <c r="T22" s="201"/>
      <c r="U22" s="198"/>
      <c r="V22" s="110"/>
      <c r="W22" s="203"/>
      <c r="X22" s="110"/>
      <c r="Y22" s="130"/>
      <c r="Z22" s="130"/>
      <c r="AA22" s="644"/>
      <c r="AB22" s="113"/>
      <c r="AC22" s="113"/>
      <c r="AD22" s="113"/>
      <c r="AE22" s="113"/>
      <c r="AF22" s="117"/>
      <c r="AG22" s="112">
        <f>SUM(AG17:AG21)</f>
        <v>4159.7613697993338</v>
      </c>
      <c r="AH22" s="113"/>
      <c r="AI22" s="113"/>
      <c r="AJ22" s="114">
        <f>SUM(AG22:AI22)</f>
        <v>4159.7613697993338</v>
      </c>
      <c r="AK22" s="118">
        <f>AJ22/[2]Popn!$D$43*1000</f>
        <v>18.02768174895591</v>
      </c>
      <c r="AL22" s="119"/>
      <c r="AM22" s="109"/>
      <c r="AN22" s="110"/>
      <c r="AO22" s="110"/>
      <c r="AP22" s="111"/>
      <c r="AQ22" s="116"/>
      <c r="AR22" s="113"/>
      <c r="AS22" s="113"/>
      <c r="AT22" s="113">
        <f>SUM(AT17:AT21)</f>
        <v>11146.541270677335</v>
      </c>
      <c r="AU22" s="120">
        <f>$AT22*I22/SUM($I22:$K22)</f>
        <v>8034.5568964262029</v>
      </c>
      <c r="AV22" s="113">
        <f>$AT22*J22/SUM($I22:$K22)</f>
        <v>1974.3479995359178</v>
      </c>
      <c r="AW22" s="114">
        <f>$AT22*K22/SUM($I22:$K22)</f>
        <v>1137.6363747152143</v>
      </c>
      <c r="AX22" s="110"/>
      <c r="AY22" s="241">
        <f>AU22</f>
        <v>8034.5568964262029</v>
      </c>
      <c r="AZ22" s="242">
        <f>AV22</f>
        <v>1974.3479995359178</v>
      </c>
      <c r="BA22" s="242">
        <f>AW22</f>
        <v>1137.6363747152143</v>
      </c>
      <c r="BB22" s="243">
        <f>AT22+AP22</f>
        <v>11146.541270677335</v>
      </c>
      <c r="BC22" s="118">
        <f>BB22/[2]Popn!$D$43*1000</f>
        <v>48.307169754563887</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20"/>
      <c r="J23" s="21">
        <f>E50*'[2]C&amp;I composn'!$E$18</f>
        <v>5582.5744627417562</v>
      </c>
      <c r="K23" s="21"/>
      <c r="L23" s="22"/>
      <c r="M23" s="2"/>
      <c r="N23" s="112"/>
      <c r="O23" s="19"/>
      <c r="P23" s="19"/>
      <c r="Q23" s="19"/>
      <c r="R23" s="33"/>
      <c r="T23" s="201">
        <f>[2]NT!Q65</f>
        <v>2357</v>
      </c>
      <c r="U23" s="198">
        <f>[2]NT!Y65</f>
        <v>72.319999999999993</v>
      </c>
      <c r="V23" s="110"/>
      <c r="W23" s="199"/>
      <c r="X23" s="2"/>
      <c r="Y23" s="198"/>
      <c r="Z23" s="198"/>
      <c r="AA23" s="643"/>
      <c r="AB23" s="21"/>
      <c r="AC23" s="21">
        <f>U23</f>
        <v>72.319999999999993</v>
      </c>
      <c r="AD23" s="21"/>
      <c r="AE23" s="21"/>
      <c r="AF23" s="70"/>
      <c r="AG23" s="20"/>
      <c r="AH23" s="21">
        <f>AC23</f>
        <v>72.319999999999993</v>
      </c>
      <c r="AI23" s="21"/>
      <c r="AJ23" s="22"/>
      <c r="AK23" s="29"/>
      <c r="AL23" s="19"/>
      <c r="AM23" s="57"/>
      <c r="AN23" s="2"/>
      <c r="AO23" s="2"/>
      <c r="AP23" s="63"/>
      <c r="AQ23" s="68"/>
      <c r="AR23" s="21"/>
      <c r="AS23" s="21"/>
      <c r="AT23" s="21"/>
      <c r="AU23" s="240"/>
      <c r="AV23" s="19"/>
      <c r="AW23" s="195"/>
      <c r="AX23" s="2"/>
      <c r="AY23" s="238"/>
      <c r="BB23" s="19"/>
      <c r="BC23" s="24"/>
      <c r="BG23" s="147" t="s">
        <v>3</v>
      </c>
      <c r="BH23" s="52">
        <f>Q12/1000</f>
        <v>77.456853108885653</v>
      </c>
      <c r="BI23" s="52">
        <f>AJ12/1000</f>
        <v>0</v>
      </c>
      <c r="BJ23" s="52">
        <f>BB12/1000</f>
        <v>0</v>
      </c>
      <c r="BK23" s="137">
        <f>SUM(BI23:BJ23)/BL23</f>
        <v>0</v>
      </c>
      <c r="BL23" s="52">
        <f>SUM(BH23:BJ23)</f>
        <v>77.456853108885653</v>
      </c>
    </row>
    <row r="24" spans="1:67">
      <c r="A24" s="699"/>
      <c r="B24" s="23"/>
      <c r="C24" s="17" t="s">
        <v>27</v>
      </c>
      <c r="D24" s="57"/>
      <c r="E24" s="2"/>
      <c r="F24" s="2"/>
      <c r="G24" s="63"/>
      <c r="H24" s="2"/>
      <c r="I24" s="20"/>
      <c r="J24" s="725">
        <f>E50*'[2]C&amp;I composn'!$E$20</f>
        <v>1835.2925223442226</v>
      </c>
      <c r="K24" s="21"/>
      <c r="L24" s="22"/>
      <c r="M24" s="2"/>
      <c r="N24" s="112"/>
      <c r="O24" s="19"/>
      <c r="P24" s="19"/>
      <c r="Q24" s="19"/>
      <c r="R24" s="33"/>
      <c r="T24" s="201"/>
      <c r="U24" s="198"/>
      <c r="V24" s="110"/>
      <c r="W24" s="199"/>
      <c r="X24" s="2"/>
      <c r="Y24" s="198"/>
      <c r="Z24" s="198"/>
      <c r="AA24" s="643"/>
      <c r="AB24" s="21"/>
      <c r="AC24" s="21"/>
      <c r="AD24" s="21"/>
      <c r="AE24" s="21"/>
      <c r="AF24" s="70"/>
      <c r="AG24" s="20"/>
      <c r="AH24" s="21"/>
      <c r="AI24" s="21"/>
      <c r="AJ24" s="22"/>
      <c r="AK24" s="29"/>
      <c r="AL24" s="19"/>
      <c r="AM24" s="57"/>
      <c r="AN24" s="2"/>
      <c r="AO24" s="2"/>
      <c r="AP24" s="63"/>
      <c r="AQ24" s="68"/>
      <c r="AR24" s="21"/>
      <c r="AS24" s="21"/>
      <c r="AT24" s="21"/>
      <c r="AU24" s="240"/>
      <c r="AV24" s="19"/>
      <c r="AW24" s="195"/>
      <c r="AX24" s="2"/>
      <c r="AY24" s="238"/>
      <c r="BB24" s="19"/>
      <c r="BC24" s="24"/>
      <c r="BG24" s="147" t="s">
        <v>4</v>
      </c>
      <c r="BH24" s="52">
        <f>Q16/1000</f>
        <v>9.9206020782611422</v>
      </c>
      <c r="BI24" s="52">
        <f>AJ16/1000</f>
        <v>0.82860999999999985</v>
      </c>
      <c r="BJ24" s="52">
        <f>BB16/1000</f>
        <v>0</v>
      </c>
      <c r="BK24" s="137">
        <f t="shared" ref="BK24:BK31" si="2">SUM(BI24:BJ24)/BL24</f>
        <v>7.7085649996221944E-2</v>
      </c>
      <c r="BL24" s="52">
        <f t="shared" ref="BL24:BL31" si="3">SUM(BH24:BJ24)</f>
        <v>10.749212078261142</v>
      </c>
    </row>
    <row r="25" spans="1:67">
      <c r="A25" s="699"/>
      <c r="B25" s="23"/>
      <c r="C25" s="17" t="s">
        <v>28</v>
      </c>
      <c r="D25" s="57"/>
      <c r="E25" s="2"/>
      <c r="F25" s="2"/>
      <c r="G25" s="63"/>
      <c r="H25" s="2"/>
      <c r="I25" s="20"/>
      <c r="J25" s="725"/>
      <c r="K25" s="21"/>
      <c r="L25" s="22"/>
      <c r="M25" s="2"/>
      <c r="N25" s="112"/>
      <c r="O25" s="19"/>
      <c r="P25" s="19"/>
      <c r="Q25" s="19"/>
      <c r="R25" s="33"/>
      <c r="T25" s="201"/>
      <c r="U25" s="198"/>
      <c r="V25" s="110"/>
      <c r="W25" s="199"/>
      <c r="X25" s="2"/>
      <c r="Y25" s="198"/>
      <c r="Z25" s="198"/>
      <c r="AA25" s="643"/>
      <c r="AB25" s="21"/>
      <c r="AC25" s="21"/>
      <c r="AD25" s="21"/>
      <c r="AE25" s="21"/>
      <c r="AF25" s="70"/>
      <c r="AG25" s="20"/>
      <c r="AH25" s="21"/>
      <c r="AI25" s="21"/>
      <c r="AJ25" s="22"/>
      <c r="AK25" s="29"/>
      <c r="AL25" s="19"/>
      <c r="AM25" s="57"/>
      <c r="AN25" s="2"/>
      <c r="AO25" s="2"/>
      <c r="AP25" s="63"/>
      <c r="AQ25" s="68"/>
      <c r="AR25" s="21"/>
      <c r="AS25" s="21"/>
      <c r="AT25" s="21"/>
      <c r="AU25" s="240"/>
      <c r="AV25" s="19"/>
      <c r="AW25" s="195"/>
      <c r="AX25" s="2"/>
      <c r="AY25" s="238"/>
      <c r="BB25" s="19"/>
      <c r="BC25" s="24"/>
      <c r="BG25" s="147" t="s">
        <v>2</v>
      </c>
      <c r="BH25" s="52">
        <f>Q22/1000</f>
        <v>86.635365553420499</v>
      </c>
      <c r="BI25" s="52">
        <f>AJ22/1000</f>
        <v>4.1597613697993339</v>
      </c>
      <c r="BJ25" s="52">
        <f>BB22/1000</f>
        <v>11.146541270677336</v>
      </c>
      <c r="BK25" s="137">
        <f t="shared" si="2"/>
        <v>0.15014765710291755</v>
      </c>
      <c r="BL25" s="52">
        <f t="shared" si="3"/>
        <v>101.94166819389717</v>
      </c>
    </row>
    <row r="26" spans="1:67">
      <c r="A26" s="699"/>
      <c r="B26" s="23"/>
      <c r="C26" s="17" t="s">
        <v>29</v>
      </c>
      <c r="D26" s="57"/>
      <c r="E26" s="2"/>
      <c r="F26" s="2"/>
      <c r="G26" s="63"/>
      <c r="H26" s="2"/>
      <c r="I26" s="20"/>
      <c r="J26" s="21">
        <f>E50*'[2]C&amp;I composn'!$E$19</f>
        <v>2739.5935442125833</v>
      </c>
      <c r="K26" s="21"/>
      <c r="L26" s="22"/>
      <c r="M26" s="2"/>
      <c r="N26" s="112"/>
      <c r="O26" s="19"/>
      <c r="P26" s="19"/>
      <c r="Q26" s="19"/>
      <c r="R26" s="33"/>
      <c r="T26" s="201"/>
      <c r="U26" s="198"/>
      <c r="V26" s="110"/>
      <c r="W26" s="199"/>
      <c r="X26" s="2"/>
      <c r="Y26" s="198"/>
      <c r="Z26" s="198"/>
      <c r="AA26" s="643"/>
      <c r="AB26" s="21"/>
      <c r="AC26" s="21"/>
      <c r="AD26" s="21"/>
      <c r="AE26" s="21"/>
      <c r="AF26" s="70"/>
      <c r="AG26" s="20"/>
      <c r="AH26" s="21"/>
      <c r="AI26" s="21"/>
      <c r="AJ26" s="22"/>
      <c r="AK26" s="29"/>
      <c r="AL26" s="19"/>
      <c r="AM26" s="57"/>
      <c r="AN26" s="2"/>
      <c r="AO26" s="2"/>
      <c r="AP26" s="63"/>
      <c r="AQ26" s="68"/>
      <c r="AR26" s="21"/>
      <c r="AS26" s="21"/>
      <c r="AT26" s="21"/>
      <c r="AU26" s="240"/>
      <c r="AV26" s="19"/>
      <c r="AW26" s="195"/>
      <c r="AX26" s="2"/>
      <c r="AY26" s="238"/>
      <c r="BB26" s="19"/>
      <c r="BC26" s="24"/>
      <c r="BG26" s="147" t="s">
        <v>5</v>
      </c>
      <c r="BH26" s="52">
        <f>Q27/1000</f>
        <v>27.481446816742992</v>
      </c>
      <c r="BI26" s="52">
        <f>AJ27/1000</f>
        <v>5.80532</v>
      </c>
      <c r="BJ26" s="52">
        <f>BB27/1000</f>
        <v>2.6356139671640348</v>
      </c>
      <c r="BK26" s="137">
        <f t="shared" si="2"/>
        <v>0.23497701942254104</v>
      </c>
      <c r="BL26" s="52">
        <f t="shared" si="3"/>
        <v>35.922380783907023</v>
      </c>
    </row>
    <row r="27" spans="1:67" s="106" customFormat="1">
      <c r="A27" s="699"/>
      <c r="B27" s="107" t="s">
        <v>67</v>
      </c>
      <c r="C27" s="108"/>
      <c r="D27" s="109"/>
      <c r="E27" s="110"/>
      <c r="F27" s="110"/>
      <c r="G27" s="111"/>
      <c r="H27" s="110"/>
      <c r="I27" s="112">
        <f>D50*'[2]Lfill en &amp; composn'!B$136</f>
        <v>16217.175206869379</v>
      </c>
      <c r="J27" s="113">
        <f>SUM(J23:J26)</f>
        <v>10157.460529298562</v>
      </c>
      <c r="K27" s="113">
        <f>F50*'[2]Lfill en &amp; composn'!C$136</f>
        <v>3742.4250477390869</v>
      </c>
      <c r="L27" s="114">
        <f>SUM(I27:K27)</f>
        <v>30117.060783907029</v>
      </c>
      <c r="M27" s="110"/>
      <c r="N27" s="112">
        <f>I27-AU27</f>
        <v>14797.972523385391</v>
      </c>
      <c r="O27" s="113">
        <f>J27-AV27</f>
        <v>9268.5575571917434</v>
      </c>
      <c r="P27" s="113">
        <f>K27-AW27</f>
        <v>3414.9167361658592</v>
      </c>
      <c r="Q27" s="114">
        <f>SUM(N27:P27)</f>
        <v>27481.446816742991</v>
      </c>
      <c r="R27" s="115">
        <f>Q27/[2]Popn!$D$43*1000</f>
        <v>119.09980721730666</v>
      </c>
      <c r="T27" s="202"/>
      <c r="U27" s="130"/>
      <c r="V27" s="110"/>
      <c r="W27" s="203"/>
      <c r="X27" s="130">
        <f>[2]NT!$L$22</f>
        <v>3376</v>
      </c>
      <c r="Y27" s="130"/>
      <c r="Z27" s="130"/>
      <c r="AA27" s="644"/>
      <c r="AB27" s="113">
        <f>X27+T23</f>
        <v>5733</v>
      </c>
      <c r="AC27" s="113"/>
      <c r="AD27" s="113"/>
      <c r="AE27" s="113"/>
      <c r="AF27" s="355"/>
      <c r="AG27" s="112">
        <f>AB27</f>
        <v>5733</v>
      </c>
      <c r="AH27" s="113">
        <f>SUM(AH23:AH26)</f>
        <v>72.319999999999993</v>
      </c>
      <c r="AI27" s="113"/>
      <c r="AJ27" s="114">
        <f>SUM(AG27:AI27)</f>
        <v>5805.32</v>
      </c>
      <c r="AK27" s="118">
        <f>AJ27/[2]Popn!$D$43*1000</f>
        <v>25.159246434344702</v>
      </c>
      <c r="AL27" s="119"/>
      <c r="AM27" s="109"/>
      <c r="AN27" s="110"/>
      <c r="AO27" s="110"/>
      <c r="AP27" s="111"/>
      <c r="AQ27" s="117"/>
      <c r="AR27" s="113">
        <f>L27*'[2]Lfill en &amp; composn'!$D$17</f>
        <v>5902.9439136457777</v>
      </c>
      <c r="AS27" s="123">
        <f>AR27/SUM($AR$7:$AR$49)</f>
        <v>0.34644632604799158</v>
      </c>
      <c r="AT27" s="113">
        <f>AS27*'[2]Lfill en &amp; composn'!$D$64/'[2]Lfill en &amp; composn'!$B$17</f>
        <v>2635.6139671640349</v>
      </c>
      <c r="AU27" s="120">
        <f>$AT27*I27/SUM($I27:$K27)</f>
        <v>1419.2026834839878</v>
      </c>
      <c r="AV27" s="113">
        <f>$AT27*J27/SUM($I27:$K27)</f>
        <v>888.90297210681888</v>
      </c>
      <c r="AW27" s="114">
        <f>$AT27*K27/SUM($I27:$K27)</f>
        <v>327.5083115732279</v>
      </c>
      <c r="AX27" s="110"/>
      <c r="AY27" s="241">
        <f>AU27</f>
        <v>1419.2026834839878</v>
      </c>
      <c r="AZ27" s="242">
        <f>AV27</f>
        <v>888.90297210681888</v>
      </c>
      <c r="BA27" s="242">
        <f>AW27</f>
        <v>327.5083115732279</v>
      </c>
      <c r="BB27" s="114">
        <f>AT27+AP27</f>
        <v>2635.6139671640349</v>
      </c>
      <c r="BC27" s="118">
        <f>BB27/[2]Popn!$D$43*1000</f>
        <v>11.422292191589928</v>
      </c>
      <c r="BD27" s="122"/>
      <c r="BG27" s="147" t="s">
        <v>6</v>
      </c>
      <c r="BH27" s="52">
        <f>Q37/1000</f>
        <v>24.800145895272987</v>
      </c>
      <c r="BI27" s="52">
        <f>AJ37/1000</f>
        <v>0.40339999999999998</v>
      </c>
      <c r="BJ27" s="52">
        <f>BB37/1000</f>
        <v>0</v>
      </c>
      <c r="BK27" s="137">
        <f t="shared" si="2"/>
        <v>1.6005684346013353E-2</v>
      </c>
      <c r="BL27" s="52">
        <f t="shared" si="3"/>
        <v>25.203545895272988</v>
      </c>
    </row>
    <row r="28" spans="1:67">
      <c r="A28" s="699"/>
      <c r="B28" s="23" t="s">
        <v>6</v>
      </c>
      <c r="C28" s="17" t="s">
        <v>30</v>
      </c>
      <c r="D28" s="57"/>
      <c r="E28" s="2"/>
      <c r="F28" s="2"/>
      <c r="G28" s="63"/>
      <c r="H28" s="2"/>
      <c r="I28" s="20"/>
      <c r="J28" s="21"/>
      <c r="K28" s="21"/>
      <c r="L28" s="22"/>
      <c r="M28" s="2"/>
      <c r="N28" s="23"/>
      <c r="O28" s="19"/>
      <c r="P28" s="19"/>
      <c r="Q28" s="19"/>
      <c r="R28" s="33"/>
      <c r="T28" s="201">
        <f>[2]NT!Q70</f>
        <v>96</v>
      </c>
      <c r="U28" s="198"/>
      <c r="V28" s="110"/>
      <c r="W28" s="199"/>
      <c r="X28" s="2"/>
      <c r="Y28" s="198"/>
      <c r="Z28" s="198"/>
      <c r="AA28" s="643"/>
      <c r="AB28" s="21">
        <f>T28</f>
        <v>96</v>
      </c>
      <c r="AC28" s="21"/>
      <c r="AD28" s="21"/>
      <c r="AE28" s="21"/>
      <c r="AF28" s="70"/>
      <c r="AG28" s="20"/>
      <c r="AH28" s="21"/>
      <c r="AI28" s="21"/>
      <c r="AJ28" s="22"/>
      <c r="AK28" s="29"/>
      <c r="AL28" s="19"/>
      <c r="AM28" s="57"/>
      <c r="AN28" s="2"/>
      <c r="AO28" s="2"/>
      <c r="AP28" s="63"/>
      <c r="AQ28" s="68"/>
      <c r="AR28" s="21"/>
      <c r="AS28" s="21"/>
      <c r="AT28" s="21"/>
      <c r="AU28" s="240"/>
      <c r="AV28" s="19"/>
      <c r="AW28" s="195"/>
      <c r="AX28" s="2"/>
      <c r="AY28" s="238"/>
      <c r="BB28" s="19"/>
      <c r="BC28" s="24"/>
      <c r="BG28" s="147" t="s">
        <v>8</v>
      </c>
      <c r="BH28" s="52">
        <f>Q38/1000</f>
        <v>7.186293898407305</v>
      </c>
      <c r="BI28" s="52">
        <f>AJ38/1000</f>
        <v>2.7949999999999999</v>
      </c>
      <c r="BJ28" s="52">
        <f>BB38/1000</f>
        <v>0</v>
      </c>
      <c r="BK28" s="137">
        <f t="shared" si="2"/>
        <v>0.28002381539391324</v>
      </c>
      <c r="BL28" s="52">
        <f t="shared" si="3"/>
        <v>9.981293898407305</v>
      </c>
    </row>
    <row r="29" spans="1:67">
      <c r="A29" s="699"/>
      <c r="B29" s="23"/>
      <c r="C29" s="17" t="s">
        <v>31</v>
      </c>
      <c r="D29" s="57"/>
      <c r="E29" s="2"/>
      <c r="F29" s="2"/>
      <c r="G29" s="63"/>
      <c r="H29" s="2"/>
      <c r="I29" s="20"/>
      <c r="J29" s="21"/>
      <c r="K29" s="21"/>
      <c r="L29" s="22"/>
      <c r="M29" s="2"/>
      <c r="N29" s="23"/>
      <c r="O29" s="19"/>
      <c r="P29" s="19"/>
      <c r="Q29" s="19"/>
      <c r="R29" s="33"/>
      <c r="T29" s="201">
        <f>[2]NT!Q71</f>
        <v>59</v>
      </c>
      <c r="U29" s="198"/>
      <c r="V29" s="110"/>
      <c r="W29" s="199"/>
      <c r="X29" s="2"/>
      <c r="Y29" s="198"/>
      <c r="Z29" s="198"/>
      <c r="AA29" s="643"/>
      <c r="AB29" s="21">
        <f>T29</f>
        <v>59</v>
      </c>
      <c r="AC29" s="21"/>
      <c r="AD29" s="21"/>
      <c r="AE29" s="21"/>
      <c r="AF29" s="70"/>
      <c r="AG29" s="20"/>
      <c r="AH29" s="21"/>
      <c r="AI29" s="21"/>
      <c r="AJ29" s="22"/>
      <c r="AK29" s="29"/>
      <c r="AL29" s="19"/>
      <c r="AM29" s="57"/>
      <c r="AN29" s="2"/>
      <c r="AO29" s="2"/>
      <c r="AP29" s="63"/>
      <c r="AQ29" s="68"/>
      <c r="AR29" s="21"/>
      <c r="AS29" s="21"/>
      <c r="AT29" s="21"/>
      <c r="AU29" s="240"/>
      <c r="AV29" s="19"/>
      <c r="AW29" s="195"/>
      <c r="AX29" s="2"/>
      <c r="AY29" s="238"/>
      <c r="BB29" s="19"/>
      <c r="BC29" s="24"/>
      <c r="BG29" s="147" t="s">
        <v>7</v>
      </c>
      <c r="BH29" s="52">
        <f>Q41/1000</f>
        <v>4.0867341508632258</v>
      </c>
      <c r="BI29" s="52">
        <f>AJ41/1000</f>
        <v>0</v>
      </c>
      <c r="BJ29" s="52">
        <f>BB41/1000</f>
        <v>4.9838175801926371E-2</v>
      </c>
      <c r="BK29" s="137">
        <f t="shared" si="2"/>
        <v>1.2048181892205721E-2</v>
      </c>
      <c r="BL29" s="52">
        <f t="shared" si="3"/>
        <v>4.136572326665152</v>
      </c>
    </row>
    <row r="30" spans="1:67">
      <c r="A30" s="699"/>
      <c r="B30" s="23"/>
      <c r="C30" s="17" t="s">
        <v>32</v>
      </c>
      <c r="D30" s="57"/>
      <c r="E30" s="2"/>
      <c r="F30" s="2"/>
      <c r="G30" s="63"/>
      <c r="H30" s="2"/>
      <c r="I30" s="20"/>
      <c r="J30" s="21"/>
      <c r="K30" s="21"/>
      <c r="L30" s="22"/>
      <c r="M30" s="2"/>
      <c r="N30" s="23"/>
      <c r="O30" s="19"/>
      <c r="P30" s="19"/>
      <c r="Q30" s="19"/>
      <c r="R30" s="33"/>
      <c r="T30" s="201"/>
      <c r="U30" s="198"/>
      <c r="V30" s="110"/>
      <c r="W30" s="199"/>
      <c r="X30" s="2"/>
      <c r="Y30" s="198"/>
      <c r="Z30" s="198"/>
      <c r="AA30" s="643"/>
      <c r="AB30" s="21"/>
      <c r="AC30" s="21"/>
      <c r="AD30" s="21"/>
      <c r="AE30" s="21"/>
      <c r="AF30" s="70"/>
      <c r="AG30" s="20"/>
      <c r="AH30" s="21"/>
      <c r="AI30" s="21"/>
      <c r="AJ30" s="22"/>
      <c r="AK30" s="29"/>
      <c r="AL30" s="19"/>
      <c r="AM30" s="57"/>
      <c r="AN30" s="2"/>
      <c r="AO30" s="2"/>
      <c r="AP30" s="63"/>
      <c r="AQ30" s="68"/>
      <c r="AR30" s="21"/>
      <c r="AS30" s="21"/>
      <c r="AT30" s="21"/>
      <c r="AU30" s="240"/>
      <c r="AV30" s="19"/>
      <c r="AW30" s="195"/>
      <c r="AX30" s="2"/>
      <c r="AY30" s="238"/>
      <c r="BB30" s="19"/>
      <c r="BC30" s="24"/>
      <c r="BG30" s="147" t="s">
        <v>11</v>
      </c>
      <c r="BH30" s="52">
        <f>Q46/1000</f>
        <v>38.708246523127322</v>
      </c>
      <c r="BI30" s="52">
        <f>AJ46/1000</f>
        <v>0</v>
      </c>
      <c r="BJ30" s="52">
        <f>BB46/1000</f>
        <v>0</v>
      </c>
      <c r="BK30" s="137">
        <f t="shared" si="2"/>
        <v>0</v>
      </c>
      <c r="BL30" s="52">
        <f t="shared" si="3"/>
        <v>38.708246523127322</v>
      </c>
    </row>
    <row r="31" spans="1:67" s="90" customFormat="1">
      <c r="A31" s="699"/>
      <c r="B31" s="91" t="s">
        <v>42</v>
      </c>
      <c r="C31" s="92"/>
      <c r="D31" s="93"/>
      <c r="E31" s="94"/>
      <c r="F31" s="94"/>
      <c r="G31" s="63"/>
      <c r="H31" s="94"/>
      <c r="I31" s="96"/>
      <c r="J31" s="97"/>
      <c r="K31" s="97"/>
      <c r="L31" s="98"/>
      <c r="M31" s="94"/>
      <c r="N31" s="96"/>
      <c r="O31" s="97"/>
      <c r="P31" s="97"/>
      <c r="Q31" s="97"/>
      <c r="R31" s="99"/>
      <c r="T31" s="201"/>
      <c r="U31" s="198"/>
      <c r="V31" s="110"/>
      <c r="W31" s="211"/>
      <c r="X31" s="94"/>
      <c r="Y31" s="289"/>
      <c r="Z31" s="289"/>
      <c r="AA31" s="645"/>
      <c r="AB31" s="97"/>
      <c r="AC31" s="97"/>
      <c r="AD31" s="97"/>
      <c r="AE31" s="97"/>
      <c r="AF31" s="101"/>
      <c r="AG31" s="96"/>
      <c r="AH31" s="97"/>
      <c r="AI31" s="97"/>
      <c r="AJ31" s="98"/>
      <c r="AK31" s="102"/>
      <c r="AL31" s="103"/>
      <c r="AM31" s="93"/>
      <c r="AN31" s="94"/>
      <c r="AO31" s="94"/>
      <c r="AP31" s="95"/>
      <c r="AQ31" s="100"/>
      <c r="AR31" s="97"/>
      <c r="AS31" s="128"/>
      <c r="AT31" s="128"/>
      <c r="AU31" s="104"/>
      <c r="AV31" s="97"/>
      <c r="AW31" s="98"/>
      <c r="AX31" s="94"/>
      <c r="AY31" s="239"/>
      <c r="BB31" s="97"/>
      <c r="BC31" s="105"/>
      <c r="BG31" s="147" t="s">
        <v>1</v>
      </c>
      <c r="BH31" s="52">
        <f>Q47/1000</f>
        <v>0</v>
      </c>
      <c r="BI31" s="52">
        <f>AJ47/1000</f>
        <v>0</v>
      </c>
      <c r="BJ31" s="52">
        <f>BB47/1000</f>
        <v>0</v>
      </c>
      <c r="BK31" s="137" t="e">
        <f t="shared" si="2"/>
        <v>#DIV/0!</v>
      </c>
      <c r="BL31" s="52">
        <f t="shared" si="3"/>
        <v>0</v>
      </c>
      <c r="BM31" s="6"/>
      <c r="BN31" s="6"/>
      <c r="BO31" s="6"/>
    </row>
    <row r="32" spans="1:67">
      <c r="A32" s="699"/>
      <c r="B32" s="23"/>
      <c r="C32" s="17" t="s">
        <v>33</v>
      </c>
      <c r="D32" s="57"/>
      <c r="E32" s="2"/>
      <c r="F32" s="2"/>
      <c r="G32" s="63"/>
      <c r="H32" s="2"/>
      <c r="I32" s="20"/>
      <c r="J32" s="21"/>
      <c r="K32" s="21"/>
      <c r="L32" s="22"/>
      <c r="M32" s="2"/>
      <c r="N32" s="23"/>
      <c r="O32" s="19"/>
      <c r="P32" s="19"/>
      <c r="Q32" s="19"/>
      <c r="R32" s="33"/>
      <c r="T32" s="201"/>
      <c r="U32" s="198"/>
      <c r="V32" s="110"/>
      <c r="W32" s="199"/>
      <c r="X32" s="2"/>
      <c r="Y32" s="198"/>
      <c r="Z32" s="198"/>
      <c r="AA32" s="643"/>
      <c r="AB32" s="21"/>
      <c r="AC32" s="21"/>
      <c r="AD32" s="21"/>
      <c r="AE32" s="21"/>
      <c r="AF32" s="70"/>
      <c r="AG32" s="20"/>
      <c r="AH32" s="21"/>
      <c r="AI32" s="21"/>
      <c r="AJ32" s="22"/>
      <c r="AK32" s="29"/>
      <c r="AL32" s="19"/>
      <c r="AM32" s="57"/>
      <c r="AN32" s="2"/>
      <c r="AO32" s="2"/>
      <c r="AP32" s="63"/>
      <c r="AQ32" s="68"/>
      <c r="AR32" s="21"/>
      <c r="AS32" s="21"/>
      <c r="AT32" s="21"/>
      <c r="AU32" s="240"/>
      <c r="AV32" s="19"/>
      <c r="AW32" s="195"/>
      <c r="AX32" s="2"/>
      <c r="AY32" s="238"/>
      <c r="BB32" s="19"/>
      <c r="BC32" s="24"/>
      <c r="BG32" s="142"/>
    </row>
    <row r="33" spans="1:59">
      <c r="A33" s="699"/>
      <c r="B33" s="23"/>
      <c r="C33" s="17" t="s">
        <v>34</v>
      </c>
      <c r="D33" s="57"/>
      <c r="E33" s="2"/>
      <c r="F33" s="2"/>
      <c r="G33" s="63"/>
      <c r="H33" s="2"/>
      <c r="I33" s="20"/>
      <c r="J33" s="21"/>
      <c r="K33" s="21"/>
      <c r="L33" s="22"/>
      <c r="M33" s="2"/>
      <c r="N33" s="23"/>
      <c r="O33" s="19"/>
      <c r="P33" s="19"/>
      <c r="Q33" s="19"/>
      <c r="R33" s="33"/>
      <c r="T33" s="201"/>
      <c r="U33" s="198"/>
      <c r="V33" s="110"/>
      <c r="W33" s="199"/>
      <c r="X33" s="2"/>
      <c r="Y33" s="198"/>
      <c r="Z33" s="198"/>
      <c r="AA33" s="643"/>
      <c r="AB33" s="21"/>
      <c r="AC33" s="21"/>
      <c r="AD33" s="21"/>
      <c r="AE33" s="21"/>
      <c r="AF33" s="70"/>
      <c r="AG33" s="20"/>
      <c r="AH33" s="21"/>
      <c r="AI33" s="21"/>
      <c r="AJ33" s="22"/>
      <c r="AK33" s="29"/>
      <c r="AL33" s="19"/>
      <c r="AM33" s="57"/>
      <c r="AN33" s="2"/>
      <c r="AO33" s="2"/>
      <c r="AP33" s="63"/>
      <c r="AQ33" s="68"/>
      <c r="AR33" s="21"/>
      <c r="AS33" s="21"/>
      <c r="AT33" s="21"/>
      <c r="AU33" s="240"/>
      <c r="AV33" s="19"/>
      <c r="AW33" s="195"/>
      <c r="AX33" s="2"/>
      <c r="AY33" s="238"/>
      <c r="BB33" s="19"/>
      <c r="BC33" s="24"/>
    </row>
    <row r="34" spans="1:59">
      <c r="A34" s="699"/>
      <c r="B34" s="23"/>
      <c r="C34" s="17" t="s">
        <v>35</v>
      </c>
      <c r="D34" s="57"/>
      <c r="E34" s="2"/>
      <c r="F34" s="2"/>
      <c r="G34" s="63"/>
      <c r="H34" s="2"/>
      <c r="I34" s="20"/>
      <c r="J34" s="21"/>
      <c r="K34" s="21"/>
      <c r="L34" s="22"/>
      <c r="M34" s="2"/>
      <c r="N34" s="23"/>
      <c r="O34" s="19"/>
      <c r="P34" s="19"/>
      <c r="Q34" s="19"/>
      <c r="R34" s="33"/>
      <c r="T34" s="201"/>
      <c r="U34" s="198"/>
      <c r="V34" s="110"/>
      <c r="W34" s="199"/>
      <c r="X34" s="2"/>
      <c r="Y34" s="198"/>
      <c r="Z34" s="198"/>
      <c r="AA34" s="643"/>
      <c r="AB34" s="21"/>
      <c r="AC34" s="21"/>
      <c r="AD34" s="21"/>
      <c r="AE34" s="21"/>
      <c r="AF34" s="70"/>
      <c r="AG34" s="20"/>
      <c r="AH34" s="21"/>
      <c r="AI34" s="21"/>
      <c r="AJ34" s="22"/>
      <c r="AK34" s="29"/>
      <c r="AL34" s="19"/>
      <c r="AM34" s="57"/>
      <c r="AN34" s="2"/>
      <c r="AO34" s="2"/>
      <c r="AP34" s="63"/>
      <c r="AQ34" s="68"/>
      <c r="AR34" s="21"/>
      <c r="AS34" s="21"/>
      <c r="AT34" s="21"/>
      <c r="AU34" s="240"/>
      <c r="AV34" s="19"/>
      <c r="AW34" s="195"/>
      <c r="AX34" s="2"/>
      <c r="AY34" s="238"/>
      <c r="BB34" s="19"/>
      <c r="BC34" s="24"/>
    </row>
    <row r="35" spans="1:59">
      <c r="A35" s="699"/>
      <c r="B35" s="23"/>
      <c r="C35" s="17" t="s">
        <v>36</v>
      </c>
      <c r="D35" s="57"/>
      <c r="E35" s="2"/>
      <c r="F35" s="2"/>
      <c r="G35" s="63"/>
      <c r="H35" s="2"/>
      <c r="I35" s="20"/>
      <c r="J35" s="21"/>
      <c r="K35" s="21"/>
      <c r="L35" s="22"/>
      <c r="M35" s="2"/>
      <c r="N35" s="23"/>
      <c r="O35" s="19"/>
      <c r="P35" s="19"/>
      <c r="Q35" s="19"/>
      <c r="R35" s="33"/>
      <c r="T35" s="201"/>
      <c r="U35" s="198"/>
      <c r="V35" s="110"/>
      <c r="W35" s="199"/>
      <c r="X35" s="2"/>
      <c r="Y35" s="198"/>
      <c r="Z35" s="198"/>
      <c r="AA35" s="643"/>
      <c r="AB35" s="21"/>
      <c r="AC35" s="21"/>
      <c r="AD35" s="21"/>
      <c r="AE35" s="21"/>
      <c r="AF35" s="70"/>
      <c r="AG35" s="20"/>
      <c r="AH35" s="21"/>
      <c r="AI35" s="21"/>
      <c r="AJ35" s="22"/>
      <c r="AK35" s="29"/>
      <c r="AL35" s="19"/>
      <c r="AM35" s="57"/>
      <c r="AN35" s="2"/>
      <c r="AO35" s="2"/>
      <c r="AP35" s="63"/>
      <c r="AQ35" s="68"/>
      <c r="AR35" s="21"/>
      <c r="AS35" s="21"/>
      <c r="AT35" s="21"/>
      <c r="AU35" s="240"/>
      <c r="AV35" s="19"/>
      <c r="AW35" s="195"/>
      <c r="AX35" s="2"/>
      <c r="AY35" s="238"/>
      <c r="BB35" s="19"/>
      <c r="BC35" s="24"/>
    </row>
    <row r="36" spans="1:59" s="90" customFormat="1">
      <c r="A36" s="699"/>
      <c r="B36" s="91" t="s">
        <v>43</v>
      </c>
      <c r="C36" s="92"/>
      <c r="D36" s="93"/>
      <c r="E36" s="94"/>
      <c r="F36" s="94"/>
      <c r="G36" s="63"/>
      <c r="H36" s="94"/>
      <c r="I36" s="96"/>
      <c r="J36" s="97"/>
      <c r="K36" s="97"/>
      <c r="L36" s="98"/>
      <c r="M36" s="94"/>
      <c r="N36" s="96"/>
      <c r="O36" s="97"/>
      <c r="P36" s="97"/>
      <c r="Q36" s="97"/>
      <c r="R36" s="99"/>
      <c r="T36" s="201"/>
      <c r="U36" s="198"/>
      <c r="V36" s="110"/>
      <c r="W36" s="211"/>
      <c r="X36" s="94"/>
      <c r="Y36" s="289"/>
      <c r="Z36" s="289"/>
      <c r="AA36" s="645"/>
      <c r="AB36" s="97"/>
      <c r="AC36" s="97"/>
      <c r="AD36" s="97"/>
      <c r="AE36" s="97"/>
      <c r="AF36" s="101"/>
      <c r="AG36" s="96"/>
      <c r="AH36" s="97"/>
      <c r="AI36" s="97"/>
      <c r="AJ36" s="98"/>
      <c r="AK36" s="102"/>
      <c r="AL36" s="103"/>
      <c r="AM36" s="93"/>
      <c r="AN36" s="94"/>
      <c r="AO36" s="94"/>
      <c r="AP36" s="95"/>
      <c r="AQ36" s="100"/>
      <c r="AR36" s="97"/>
      <c r="AS36" s="97"/>
      <c r="AT36" s="97"/>
      <c r="AU36" s="104"/>
      <c r="AV36" s="97"/>
      <c r="AW36" s="98"/>
      <c r="AX36" s="94"/>
      <c r="AY36" s="239"/>
      <c r="BB36" s="97"/>
      <c r="BC36" s="105"/>
      <c r="BG36" s="143"/>
    </row>
    <row r="37" spans="1:59" s="106" customFormat="1">
      <c r="A37" s="699"/>
      <c r="B37" s="107" t="s">
        <v>67</v>
      </c>
      <c r="C37" s="108"/>
      <c r="D37" s="109"/>
      <c r="E37" s="110"/>
      <c r="F37" s="110"/>
      <c r="G37" s="63"/>
      <c r="H37" s="110"/>
      <c r="I37" s="112">
        <f>D50*'[2]Lfill en &amp; composn'!B$137</f>
        <v>16135.560191835044</v>
      </c>
      <c r="J37" s="113">
        <f>E50*SUM('[2]C&amp;I composn'!$E$21:$E$22)</f>
        <v>4963.9194501592319</v>
      </c>
      <c r="K37" s="113">
        <f>F50*'[2]Lfill en &amp; composn'!C$137</f>
        <v>3700.6662532787132</v>
      </c>
      <c r="L37" s="114">
        <f>SUM(I37:K37)</f>
        <v>24800.145895272988</v>
      </c>
      <c r="M37" s="110"/>
      <c r="N37" s="112">
        <f t="shared" ref="N37:P38" si="4">I37</f>
        <v>16135.560191835044</v>
      </c>
      <c r="O37" s="113">
        <f t="shared" si="4"/>
        <v>4963.9194501592319</v>
      </c>
      <c r="P37" s="113">
        <f t="shared" si="4"/>
        <v>3700.6662532787132</v>
      </c>
      <c r="Q37" s="114">
        <f>SUM(N37:P37)</f>
        <v>24800.145895272988</v>
      </c>
      <c r="R37" s="115">
        <f>Q37/[2]Popn!$D$43*1000</f>
        <v>107.47951571780287</v>
      </c>
      <c r="T37" s="201"/>
      <c r="U37" s="198"/>
      <c r="V37" s="110"/>
      <c r="W37" s="203"/>
      <c r="X37" s="130">
        <f>[2]NT!$L$24</f>
        <v>248.4</v>
      </c>
      <c r="Y37" s="130"/>
      <c r="Z37" s="130"/>
      <c r="AA37" s="644"/>
      <c r="AB37" s="113">
        <f>SUM(X37,AB28:AB36)</f>
        <v>403.4</v>
      </c>
      <c r="AC37" s="113"/>
      <c r="AD37" s="113"/>
      <c r="AE37" s="113"/>
      <c r="AF37" s="117"/>
      <c r="AG37" s="112">
        <f>AB37</f>
        <v>403.4</v>
      </c>
      <c r="AH37" s="113"/>
      <c r="AI37" s="113"/>
      <c r="AJ37" s="114">
        <f>SUM(AG37:AI37)</f>
        <v>403.4</v>
      </c>
      <c r="AK37" s="118">
        <f>AJ37/[2]Popn!$D$43*1000</f>
        <v>1.7482653861655606</v>
      </c>
      <c r="AL37" s="119"/>
      <c r="AM37" s="109"/>
      <c r="AN37" s="110"/>
      <c r="AO37" s="110"/>
      <c r="AP37" s="111"/>
      <c r="AQ37" s="116"/>
      <c r="AR37" s="113"/>
      <c r="AS37" s="113"/>
      <c r="AT37" s="113"/>
      <c r="AU37" s="120"/>
      <c r="AV37" s="113"/>
      <c r="AW37" s="114"/>
      <c r="AX37" s="110"/>
      <c r="AY37" s="237"/>
      <c r="BB37" s="113"/>
      <c r="BC37" s="118">
        <f>BB37/[2]Popn!$D$43*1000</f>
        <v>0</v>
      </c>
      <c r="BG37" s="144"/>
    </row>
    <row r="38" spans="1:59" s="106" customFormat="1">
      <c r="A38" s="699"/>
      <c r="B38" s="37" t="s">
        <v>8</v>
      </c>
      <c r="C38" s="129" t="s">
        <v>8</v>
      </c>
      <c r="D38" s="109"/>
      <c r="E38" s="110"/>
      <c r="F38" s="110"/>
      <c r="G38" s="63"/>
      <c r="H38" s="110"/>
      <c r="I38" s="112">
        <f>D50*'[2]Lfill en &amp; composn'!B$138</f>
        <v>6028.6192272151056</v>
      </c>
      <c r="J38" s="113">
        <f>E50*SUM('[2]C&amp;I composn'!$E$23:$E$24)</f>
        <v>364.71616998152479</v>
      </c>
      <c r="K38" s="113">
        <f>F50*'[2]Lfill en &amp; composn'!C$138</f>
        <v>792.9585012106744</v>
      </c>
      <c r="L38" s="114">
        <f>SUM(I38:K38)</f>
        <v>7186.2938984073053</v>
      </c>
      <c r="M38" s="110"/>
      <c r="N38" s="112">
        <f t="shared" si="4"/>
        <v>6028.6192272151056</v>
      </c>
      <c r="O38" s="113">
        <f t="shared" si="4"/>
        <v>364.71616998152479</v>
      </c>
      <c r="P38" s="113">
        <f t="shared" si="4"/>
        <v>792.9585012106744</v>
      </c>
      <c r="Q38" s="114">
        <f>SUM(N38:P38)</f>
        <v>7186.2938984073053</v>
      </c>
      <c r="R38" s="115">
        <f>Q38/[2]Popn!$D$43*1000</f>
        <v>31.144146944467678</v>
      </c>
      <c r="T38" s="201">
        <f>[2]NT!Q78</f>
        <v>1221</v>
      </c>
      <c r="U38" s="198"/>
      <c r="V38" s="110"/>
      <c r="W38" s="199"/>
      <c r="X38" s="130">
        <f>[2]NT!$L$23</f>
        <v>1574</v>
      </c>
      <c r="Y38" s="130"/>
      <c r="Z38" s="130"/>
      <c r="AA38" s="644"/>
      <c r="AB38" s="113">
        <f>T38+X38</f>
        <v>2795</v>
      </c>
      <c r="AC38" s="113"/>
      <c r="AD38" s="113"/>
      <c r="AE38" s="113"/>
      <c r="AF38" s="117"/>
      <c r="AG38" s="112">
        <f>AB38</f>
        <v>2795</v>
      </c>
      <c r="AH38" s="113"/>
      <c r="AI38" s="113"/>
      <c r="AJ38" s="114">
        <f>SUM(AG38:AI38)</f>
        <v>2795</v>
      </c>
      <c r="AK38" s="118">
        <f>AJ38/[2]Popn!$D$43*1000</f>
        <v>12.113043515946313</v>
      </c>
      <c r="AL38" s="119"/>
      <c r="AM38" s="109"/>
      <c r="AN38" s="110"/>
      <c r="AO38" s="110"/>
      <c r="AP38" s="111"/>
      <c r="AQ38" s="116"/>
      <c r="AR38" s="113"/>
      <c r="AS38" s="113"/>
      <c r="AT38" s="113"/>
      <c r="AU38" s="120"/>
      <c r="AV38" s="113"/>
      <c r="AW38" s="114"/>
      <c r="AX38" s="110"/>
      <c r="AY38" s="237"/>
      <c r="BB38" s="113"/>
      <c r="BC38" s="121"/>
      <c r="BG38" s="144"/>
    </row>
    <row r="39" spans="1:59">
      <c r="A39" s="699"/>
      <c r="B39" s="23" t="s">
        <v>7</v>
      </c>
      <c r="C39" s="17" t="s">
        <v>9</v>
      </c>
      <c r="D39" s="57"/>
      <c r="E39" s="2"/>
      <c r="F39" s="2"/>
      <c r="G39" s="63"/>
      <c r="H39" s="2"/>
      <c r="I39" s="20"/>
      <c r="J39" s="21">
        <f>E50*'[2]C&amp;I composn'!$E$25</f>
        <v>743.21035881372086</v>
      </c>
      <c r="K39" s="21"/>
      <c r="L39" s="22"/>
      <c r="M39" s="2"/>
      <c r="N39" s="20"/>
      <c r="O39" s="21"/>
      <c r="P39" s="21"/>
      <c r="Q39" s="22"/>
      <c r="R39" s="34"/>
      <c r="T39" s="201"/>
      <c r="U39" s="198"/>
      <c r="V39" s="110"/>
      <c r="W39" s="199"/>
      <c r="X39" s="198"/>
      <c r="Y39" s="198"/>
      <c r="Z39" s="198"/>
      <c r="AA39" s="274"/>
      <c r="AB39" s="21"/>
      <c r="AC39" s="21"/>
      <c r="AD39" s="21"/>
      <c r="AE39" s="21"/>
      <c r="AF39" s="70"/>
      <c r="AG39" s="20"/>
      <c r="AH39" s="21"/>
      <c r="AI39" s="21"/>
      <c r="AJ39" s="22"/>
      <c r="AK39" s="29"/>
      <c r="AL39" s="19"/>
      <c r="AM39" s="57"/>
      <c r="AN39" s="2"/>
      <c r="AO39" s="2"/>
      <c r="AP39" s="63"/>
      <c r="AQ39" s="68"/>
      <c r="AR39" s="21"/>
      <c r="AT39" s="21"/>
      <c r="AU39" s="25"/>
      <c r="AV39" s="21"/>
      <c r="AW39" s="22"/>
      <c r="AX39" s="2"/>
      <c r="AY39" s="238"/>
      <c r="BB39" s="21"/>
      <c r="BC39" s="29"/>
    </row>
    <row r="40" spans="1:59">
      <c r="A40" s="699"/>
      <c r="B40" s="23"/>
      <c r="C40" s="17" t="s">
        <v>10</v>
      </c>
      <c r="D40" s="57"/>
      <c r="E40" s="2"/>
      <c r="F40" s="2"/>
      <c r="G40" s="63"/>
      <c r="H40" s="2"/>
      <c r="I40" s="20"/>
      <c r="J40" s="21">
        <f>E50*'[2]C&amp;I composn'!$E$26</f>
        <v>274.67442806885833</v>
      </c>
      <c r="K40" s="21"/>
      <c r="L40" s="22"/>
      <c r="M40" s="2"/>
      <c r="N40" s="20"/>
      <c r="O40" s="21"/>
      <c r="P40" s="21"/>
      <c r="Q40" s="22"/>
      <c r="R40" s="33"/>
      <c r="T40" s="201"/>
      <c r="U40" s="198"/>
      <c r="V40" s="110"/>
      <c r="W40" s="199"/>
      <c r="X40" s="198"/>
      <c r="Y40" s="198"/>
      <c r="Z40" s="198"/>
      <c r="AA40" s="274"/>
      <c r="AB40" s="21"/>
      <c r="AC40" s="21"/>
      <c r="AD40" s="21"/>
      <c r="AE40" s="21"/>
      <c r="AF40" s="70"/>
      <c r="AG40" s="20"/>
      <c r="AH40" s="21"/>
      <c r="AI40" s="21"/>
      <c r="AJ40" s="22"/>
      <c r="AK40" s="29"/>
      <c r="AL40" s="19"/>
      <c r="AM40" s="57"/>
      <c r="AN40" s="2"/>
      <c r="AO40" s="2"/>
      <c r="AP40" s="63"/>
      <c r="AQ40" s="68"/>
      <c r="AR40" s="21"/>
      <c r="AS40" s="21"/>
      <c r="AT40" s="21"/>
      <c r="AU40" s="240"/>
      <c r="AV40" s="21"/>
      <c r="AW40" s="195"/>
      <c r="AX40" s="2"/>
      <c r="AY40" s="238"/>
      <c r="BB40" s="21"/>
      <c r="BC40" s="29"/>
    </row>
    <row r="41" spans="1:59" s="106" customFormat="1">
      <c r="A41" s="699"/>
      <c r="B41" s="107" t="s">
        <v>67</v>
      </c>
      <c r="C41" s="108"/>
      <c r="D41" s="109"/>
      <c r="E41" s="110"/>
      <c r="F41" s="110"/>
      <c r="G41" s="63"/>
      <c r="H41" s="110"/>
      <c r="I41" s="112">
        <f>D50*'[2]Lfill en &amp; composn'!B$139</f>
        <v>3118.6875397825729</v>
      </c>
      <c r="J41" s="113">
        <f>SUM(J39:J40)</f>
        <v>1017.8847868825792</v>
      </c>
      <c r="K41" s="113">
        <f>F50*'[2]Lfill en &amp; composn'!C$139</f>
        <v>0</v>
      </c>
      <c r="L41" s="114">
        <f>SUM(I41:K41)</f>
        <v>4136.5723266651521</v>
      </c>
      <c r="M41" s="110"/>
      <c r="N41" s="112">
        <f>I41-AU41</f>
        <v>3081.1130250383171</v>
      </c>
      <c r="O41" s="113">
        <f>J41-AV41</f>
        <v>1005.6211258249089</v>
      </c>
      <c r="P41" s="113">
        <f>K41-AW41</f>
        <v>0</v>
      </c>
      <c r="Q41" s="114">
        <f>SUM(N41:P41)</f>
        <v>4086.7341508632262</v>
      </c>
      <c r="R41" s="115">
        <f>Q41/[2]Popn!$D$43*1000</f>
        <v>17.711194492848001</v>
      </c>
      <c r="T41" s="201"/>
      <c r="U41" s="198"/>
      <c r="V41" s="110"/>
      <c r="W41" s="203"/>
      <c r="X41" s="130"/>
      <c r="Y41" s="130"/>
      <c r="Z41" s="130"/>
      <c r="AA41" s="276"/>
      <c r="AB41" s="113"/>
      <c r="AC41" s="113"/>
      <c r="AD41" s="113"/>
      <c r="AE41" s="113"/>
      <c r="AF41" s="117"/>
      <c r="AG41" s="112"/>
      <c r="AH41" s="113"/>
      <c r="AI41" s="113"/>
      <c r="AJ41" s="114">
        <f>SUM(AG41:AI41)</f>
        <v>0</v>
      </c>
      <c r="AK41" s="118">
        <f>AJ41/[2]Popn!$D$43*1000</f>
        <v>0</v>
      </c>
      <c r="AL41" s="119"/>
      <c r="AM41" s="109"/>
      <c r="AN41" s="110"/>
      <c r="AO41" s="110"/>
      <c r="AP41" s="111"/>
      <c r="AQ41" s="116"/>
      <c r="AR41" s="21">
        <f>L41*'[2]Lfill en &amp; composn'!$D$94</f>
        <v>87.902161941634489</v>
      </c>
      <c r="AS41" s="35">
        <f>AR41/SUM($AR$7:$AR$49)</f>
        <v>5.1590158236055868E-3</v>
      </c>
      <c r="AT41" s="113">
        <f>AS41*'[2]Lfill en &amp; composn'!$D$64/'[2]Lfill en &amp; composn'!$B$25</f>
        <v>49.838175801926369</v>
      </c>
      <c r="AU41" s="120">
        <f>$AT41*I41/SUM($I41:$K41)</f>
        <v>37.574514744256</v>
      </c>
      <c r="AV41" s="113">
        <f>$AT41*J41/SUM($I41:$K41)</f>
        <v>12.263661057670369</v>
      </c>
      <c r="AW41" s="114">
        <f>$AT41*K41/SUM($I41:$K41)</f>
        <v>0</v>
      </c>
      <c r="AX41" s="110"/>
      <c r="AY41" s="241">
        <f>AU41</f>
        <v>37.574514744256</v>
      </c>
      <c r="AZ41" s="242">
        <f>AV41</f>
        <v>12.263661057670369</v>
      </c>
      <c r="BA41" s="242">
        <f>AW41</f>
        <v>0</v>
      </c>
      <c r="BB41" s="114">
        <f>AT41+AP41</f>
        <v>49.838175801926369</v>
      </c>
      <c r="BC41" s="118">
        <f>BB41/[2]Popn!$D$43*1000</f>
        <v>0.21598997933599878</v>
      </c>
      <c r="BD41" s="122"/>
      <c r="BG41" s="144"/>
    </row>
    <row r="42" spans="1:59">
      <c r="A42" s="699"/>
      <c r="B42" s="23" t="s">
        <v>11</v>
      </c>
      <c r="C42" s="17" t="s">
        <v>12</v>
      </c>
      <c r="D42" s="57"/>
      <c r="E42" s="2"/>
      <c r="F42" s="2"/>
      <c r="G42" s="199"/>
      <c r="H42" s="2"/>
      <c r="I42" s="20"/>
      <c r="J42" s="21"/>
      <c r="K42" s="21"/>
      <c r="L42" s="22"/>
      <c r="M42" s="2"/>
      <c r="N42" s="20"/>
      <c r="O42" s="21"/>
      <c r="P42" s="21"/>
      <c r="Q42" s="22"/>
      <c r="R42" s="33"/>
      <c r="T42" s="201"/>
      <c r="U42" s="198"/>
      <c r="V42" s="2"/>
      <c r="W42" s="199"/>
      <c r="X42" s="198"/>
      <c r="Y42" s="198"/>
      <c r="Z42" s="198"/>
      <c r="AA42" s="274"/>
      <c r="AB42" s="21"/>
      <c r="AC42" s="21"/>
      <c r="AD42" s="21"/>
      <c r="AE42" s="21"/>
      <c r="AF42" s="70"/>
      <c r="AG42" s="20"/>
      <c r="AH42" s="21"/>
      <c r="AI42" s="21"/>
      <c r="AJ42" s="22"/>
      <c r="AK42" s="29"/>
      <c r="AL42" s="19"/>
      <c r="AM42" s="57"/>
      <c r="AN42" s="2"/>
      <c r="AO42" s="2"/>
      <c r="AP42" s="63"/>
      <c r="AQ42" s="70">
        <f>'[2]Haz-NSW'!$G$9</f>
        <v>0</v>
      </c>
      <c r="AR42" s="21"/>
      <c r="AS42" s="21"/>
      <c r="AT42" s="21"/>
      <c r="AU42" s="25"/>
      <c r="AV42" s="21"/>
      <c r="AW42" s="22"/>
      <c r="AX42" s="2"/>
      <c r="AY42" s="23"/>
      <c r="AZ42" s="19"/>
      <c r="BA42" s="19"/>
      <c r="BB42" s="19"/>
      <c r="BC42" s="24"/>
    </row>
    <row r="43" spans="1:59">
      <c r="A43" s="699"/>
      <c r="B43" s="23"/>
      <c r="C43" s="17" t="s">
        <v>13</v>
      </c>
      <c r="D43" s="57"/>
      <c r="E43" s="2"/>
      <c r="F43" s="2"/>
      <c r="G43" s="199"/>
      <c r="H43" s="3"/>
      <c r="I43" s="20"/>
      <c r="J43" s="21"/>
      <c r="K43" s="21"/>
      <c r="L43" s="22"/>
      <c r="M43" s="83"/>
      <c r="N43" s="20"/>
      <c r="O43" s="21"/>
      <c r="P43" s="21"/>
      <c r="Q43" s="22"/>
      <c r="R43" s="34"/>
      <c r="T43" s="201"/>
      <c r="U43" s="198"/>
      <c r="V43" s="198"/>
      <c r="W43" s="199"/>
      <c r="X43" s="198"/>
      <c r="Y43" s="198"/>
      <c r="Z43" s="198"/>
      <c r="AA43" s="282"/>
      <c r="AB43" s="21"/>
      <c r="AC43" s="21"/>
      <c r="AD43" s="21"/>
      <c r="AE43" s="21"/>
      <c r="AF43" s="70"/>
      <c r="AG43" s="20"/>
      <c r="AH43" s="21"/>
      <c r="AI43" s="21"/>
      <c r="AJ43" s="22"/>
      <c r="AK43" s="29"/>
      <c r="AL43" s="19"/>
      <c r="AM43" s="57"/>
      <c r="AN43" s="2"/>
      <c r="AO43" s="2"/>
      <c r="AP43" s="64"/>
      <c r="AQ43" s="70">
        <f>'[2]Haz-NSW'!$G$9</f>
        <v>0</v>
      </c>
      <c r="AR43" s="21"/>
      <c r="AS43" s="21"/>
      <c r="AT43" s="21"/>
      <c r="AU43" s="25"/>
      <c r="AV43" s="21"/>
      <c r="AW43" s="22"/>
      <c r="AX43" s="2"/>
      <c r="AY43" s="20"/>
      <c r="AZ43" s="21"/>
      <c r="BA43" s="21"/>
      <c r="BB43" s="21"/>
      <c r="BC43" s="24"/>
    </row>
    <row r="44" spans="1:59">
      <c r="A44" s="699"/>
      <c r="B44" s="23"/>
      <c r="C44" s="17" t="s">
        <v>14</v>
      </c>
      <c r="D44" s="57"/>
      <c r="E44" s="2"/>
      <c r="F44" s="2"/>
      <c r="G44" s="199"/>
      <c r="H44" s="3"/>
      <c r="I44" s="20"/>
      <c r="J44" s="21"/>
      <c r="K44" s="21"/>
      <c r="L44" s="22"/>
      <c r="M44" s="83"/>
      <c r="N44" s="20"/>
      <c r="O44" s="21"/>
      <c r="P44" s="21"/>
      <c r="Q44" s="22"/>
      <c r="R44" s="34"/>
      <c r="T44" s="201"/>
      <c r="U44" s="198"/>
      <c r="V44" s="2"/>
      <c r="W44" s="199"/>
      <c r="X44" s="198"/>
      <c r="Y44" s="198"/>
      <c r="Z44" s="198"/>
      <c r="AA44" s="282"/>
      <c r="AB44" s="21"/>
      <c r="AC44" s="21"/>
      <c r="AD44" s="21"/>
      <c r="AE44" s="21"/>
      <c r="AF44" s="70"/>
      <c r="AG44" s="20"/>
      <c r="AH44" s="21"/>
      <c r="AI44" s="21"/>
      <c r="AJ44" s="22"/>
      <c r="AK44" s="29"/>
      <c r="AL44" s="19"/>
      <c r="AM44" s="57"/>
      <c r="AN44" s="2"/>
      <c r="AO44" s="2"/>
      <c r="AP44" s="64"/>
      <c r="AQ44" s="70">
        <f>'[2]Haz-NSW'!$G$9</f>
        <v>0</v>
      </c>
      <c r="AR44" s="21"/>
      <c r="AS44" s="21"/>
      <c r="AT44" s="21"/>
      <c r="AU44" s="25"/>
      <c r="AV44" s="21"/>
      <c r="AW44" s="22"/>
      <c r="AX44" s="2"/>
      <c r="AY44" s="23"/>
      <c r="AZ44" s="19"/>
      <c r="BA44" s="19"/>
      <c r="BB44" s="21"/>
      <c r="BC44" s="24"/>
    </row>
    <row r="45" spans="1:59">
      <c r="A45" s="699"/>
      <c r="B45" s="23"/>
      <c r="C45" s="17" t="s">
        <v>15</v>
      </c>
      <c r="D45" s="201">
        <f>[2]NT!$AF$51</f>
        <v>1640.6481332089115</v>
      </c>
      <c r="E45" s="2"/>
      <c r="F45" s="2"/>
      <c r="G45" s="199"/>
      <c r="H45" s="3"/>
      <c r="I45" s="20"/>
      <c r="J45" s="21"/>
      <c r="K45" s="21"/>
      <c r="L45" s="22"/>
      <c r="M45" s="83"/>
      <c r="N45" s="20">
        <f>D45</f>
        <v>1640.6481332089115</v>
      </c>
      <c r="O45" s="21"/>
      <c r="P45" s="21"/>
      <c r="Q45" s="22"/>
      <c r="R45" s="34"/>
      <c r="T45" s="201"/>
      <c r="U45" s="198"/>
      <c r="V45" s="2"/>
      <c r="W45" s="199"/>
      <c r="X45" s="198"/>
      <c r="Y45" s="198"/>
      <c r="Z45" s="198"/>
      <c r="AA45" s="282"/>
      <c r="AB45" s="21"/>
      <c r="AC45" s="21"/>
      <c r="AD45" s="21"/>
      <c r="AE45" s="21"/>
      <c r="AF45" s="70"/>
      <c r="AG45" s="20"/>
      <c r="AH45" s="21"/>
      <c r="AI45" s="21"/>
      <c r="AJ45" s="22"/>
      <c r="AK45" s="29"/>
      <c r="AL45" s="19"/>
      <c r="AM45" s="57"/>
      <c r="AN45" s="2"/>
      <c r="AO45" s="2"/>
      <c r="AP45" s="64"/>
      <c r="AQ45" s="70">
        <f>'[2]Haz-NSW'!$G$9</f>
        <v>0</v>
      </c>
      <c r="AR45" s="21"/>
      <c r="AS45" s="21"/>
      <c r="AT45" s="21"/>
      <c r="AU45" s="25"/>
      <c r="AV45" s="21"/>
      <c r="AW45" s="22"/>
      <c r="AX45" s="2"/>
      <c r="AY45" s="23"/>
      <c r="AZ45" s="19"/>
      <c r="BA45" s="19"/>
      <c r="BB45" s="21"/>
      <c r="BC45" s="24"/>
    </row>
    <row r="46" spans="1:59" s="106" customFormat="1">
      <c r="A46" s="699"/>
      <c r="B46" s="107" t="s">
        <v>67</v>
      </c>
      <c r="C46" s="108"/>
      <c r="D46" s="109"/>
      <c r="E46" s="110"/>
      <c r="F46" s="110"/>
      <c r="G46" s="63"/>
      <c r="H46" s="125"/>
      <c r="I46" s="112">
        <f>D50*'[2]Lfill en &amp; composn'!B$140</f>
        <v>2165.3485296724039</v>
      </c>
      <c r="J46" s="113">
        <f>E50*'[2]C&amp;I composn'!$E$28</f>
        <v>3882.0650681543761</v>
      </c>
      <c r="K46" s="113">
        <f>F50*'[2]Lfill en &amp; composn'!C$140</f>
        <v>32660.832925300547</v>
      </c>
      <c r="L46" s="114">
        <f>SUM(I46:K46)</f>
        <v>38708.246523127324</v>
      </c>
      <c r="M46" s="110"/>
      <c r="N46" s="112">
        <f>I46</f>
        <v>2165.3485296724039</v>
      </c>
      <c r="O46" s="113">
        <f>J46</f>
        <v>3882.0650681543761</v>
      </c>
      <c r="P46" s="113">
        <f>K46</f>
        <v>32660.832925300547</v>
      </c>
      <c r="Q46" s="114">
        <f>SUM(N46:P46)</f>
        <v>38708.246523127324</v>
      </c>
      <c r="R46" s="115">
        <f>Q46/[2]Popn!$D$43*1000</f>
        <v>167.75480306283322</v>
      </c>
      <c r="T46" s="201"/>
      <c r="U46" s="198"/>
      <c r="V46" s="110"/>
      <c r="W46" s="203"/>
      <c r="X46" s="130"/>
      <c r="Y46" s="130"/>
      <c r="Z46" s="130"/>
      <c r="AA46" s="284"/>
      <c r="AB46" s="113"/>
      <c r="AC46" s="113"/>
      <c r="AD46" s="113"/>
      <c r="AE46" s="113"/>
      <c r="AF46" s="117"/>
      <c r="AG46" s="112"/>
      <c r="AH46" s="113"/>
      <c r="AI46" s="113"/>
      <c r="AJ46" s="114">
        <f>SUM(AG46:AI46)</f>
        <v>0</v>
      </c>
      <c r="AK46" s="118">
        <f>AJ46/[2]Popn!$D$43*1000</f>
        <v>0</v>
      </c>
      <c r="AL46" s="119"/>
      <c r="AM46" s="109"/>
      <c r="AN46" s="110"/>
      <c r="AO46" s="110"/>
      <c r="AP46" s="124"/>
      <c r="AQ46" s="126"/>
      <c r="AR46" s="113"/>
      <c r="AS46" s="113"/>
      <c r="AT46" s="113"/>
      <c r="AU46" s="120"/>
      <c r="AV46" s="113"/>
      <c r="AW46" s="114"/>
      <c r="AX46" s="110"/>
      <c r="AY46" s="127"/>
      <c r="AZ46" s="119"/>
      <c r="BA46" s="119"/>
      <c r="BB46" s="113"/>
      <c r="BC46" s="121"/>
      <c r="BG46" s="144"/>
    </row>
    <row r="47" spans="1:59" s="106" customFormat="1" ht="13.5" thickBot="1">
      <c r="A47" s="699"/>
      <c r="B47" s="131" t="s">
        <v>37</v>
      </c>
      <c r="C47" s="132" t="s">
        <v>1</v>
      </c>
      <c r="D47" s="109"/>
      <c r="E47" s="110"/>
      <c r="F47" s="110"/>
      <c r="G47" s="203"/>
      <c r="H47" s="130">
        <f>'[2]Fly ash'!$C$264</f>
        <v>0</v>
      </c>
      <c r="I47" s="112"/>
      <c r="J47" s="113"/>
      <c r="K47" s="113"/>
      <c r="L47" s="114"/>
      <c r="M47" s="110"/>
      <c r="N47" s="127"/>
      <c r="O47" s="119"/>
      <c r="P47" s="119"/>
      <c r="Q47" s="113">
        <f>H47</f>
        <v>0</v>
      </c>
      <c r="R47" s="115">
        <f>Q47/[2]Popn!$D$43*1000</f>
        <v>0</v>
      </c>
      <c r="T47" s="201"/>
      <c r="U47" s="198"/>
      <c r="V47" s="110"/>
      <c r="W47" s="203"/>
      <c r="X47" s="130"/>
      <c r="Y47" s="130"/>
      <c r="Z47" s="130"/>
      <c r="AA47" s="285">
        <f>'[2]Fly ash'!$C$256</f>
        <v>0</v>
      </c>
      <c r="AB47" s="113"/>
      <c r="AC47" s="113"/>
      <c r="AD47" s="113"/>
      <c r="AE47" s="113"/>
      <c r="AF47" s="117"/>
      <c r="AG47" s="112"/>
      <c r="AH47" s="113"/>
      <c r="AI47" s="113"/>
      <c r="AJ47" s="114">
        <f>W47</f>
        <v>0</v>
      </c>
      <c r="AK47" s="115">
        <f>AJ47/[2]Popn!$D$43*1000</f>
        <v>0</v>
      </c>
      <c r="AL47" s="119"/>
      <c r="AM47" s="109"/>
      <c r="AN47" s="110"/>
      <c r="AO47" s="110"/>
      <c r="AP47" s="111"/>
      <c r="AQ47" s="117"/>
      <c r="AR47" s="113"/>
      <c r="AS47" s="113"/>
      <c r="AT47" s="113"/>
      <c r="AU47" s="120"/>
      <c r="AV47" s="113"/>
      <c r="AW47" s="114"/>
      <c r="AX47" s="110"/>
      <c r="AY47" s="127"/>
      <c r="AZ47" s="119"/>
      <c r="BA47" s="119"/>
      <c r="BB47" s="119"/>
      <c r="BC47" s="121"/>
      <c r="BG47" s="144"/>
    </row>
    <row r="48" spans="1:59" ht="13.5" thickBot="1">
      <c r="B48" s="19"/>
      <c r="C48" s="38"/>
      <c r="D48" s="57"/>
      <c r="E48" s="2"/>
      <c r="F48" s="2"/>
      <c r="G48" s="63"/>
      <c r="H48" s="2"/>
      <c r="I48" s="20"/>
      <c r="J48" s="21"/>
      <c r="K48" s="21"/>
      <c r="L48" s="22"/>
      <c r="M48" s="2"/>
      <c r="N48" s="23"/>
      <c r="O48" s="19"/>
      <c r="P48" s="19"/>
      <c r="Q48" s="19"/>
      <c r="R48" s="24"/>
      <c r="T48" s="201"/>
      <c r="U48" s="198"/>
      <c r="V48" s="2"/>
      <c r="W48" s="63"/>
      <c r="X48" s="2"/>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19"/>
      <c r="BC48" s="24"/>
    </row>
    <row r="49" spans="1:73" ht="13.5" thickBot="1">
      <c r="C49" s="39" t="s">
        <v>38</v>
      </c>
      <c r="D49" s="58"/>
      <c r="E49" s="59"/>
      <c r="F49" s="2"/>
      <c r="G49" s="208"/>
      <c r="H49" s="2"/>
      <c r="I49" s="20"/>
      <c r="J49" s="21"/>
      <c r="K49" s="21"/>
      <c r="L49" s="22"/>
      <c r="M49" s="2"/>
      <c r="N49" s="23"/>
      <c r="O49" s="19"/>
      <c r="P49" s="19"/>
      <c r="Q49" s="19"/>
      <c r="R49" s="24"/>
      <c r="T49" s="201"/>
      <c r="U49" s="198"/>
      <c r="V49" s="2"/>
      <c r="W49" s="208"/>
      <c r="X49" s="198"/>
      <c r="Y49" s="198"/>
      <c r="Z49" s="198"/>
      <c r="AA49" s="274"/>
      <c r="AB49" s="21"/>
      <c r="AC49" s="21"/>
      <c r="AD49" s="21"/>
      <c r="AE49" s="21"/>
      <c r="AF49" s="70"/>
      <c r="AG49" s="20"/>
      <c r="AH49" s="21"/>
      <c r="AI49" s="21"/>
      <c r="AJ49" s="22"/>
      <c r="AK49" s="40"/>
      <c r="AL49" s="19"/>
      <c r="AM49" s="58"/>
      <c r="AN49" s="59"/>
      <c r="AO49" s="2"/>
      <c r="AP49" s="65"/>
      <c r="AQ49" s="68"/>
      <c r="AR49" s="21"/>
      <c r="AS49" s="21"/>
      <c r="AT49" s="21"/>
      <c r="AU49" s="25"/>
      <c r="AV49" s="21"/>
      <c r="AW49" s="22"/>
      <c r="AX49" s="2"/>
      <c r="AY49" s="23"/>
      <c r="AZ49" s="19"/>
      <c r="BA49" s="19"/>
      <c r="BB49" s="19"/>
      <c r="BC49" s="24"/>
    </row>
    <row r="50" spans="1:73" ht="13.5" thickBot="1">
      <c r="C50" s="135" t="s">
        <v>92</v>
      </c>
      <c r="D50" s="134">
        <f>$G50*[2]NT!$L$101/100</f>
        <v>124747.50159130291</v>
      </c>
      <c r="E50" s="134">
        <f>$G50*[2]NT!$L$102/100</f>
        <v>40615.465634377695</v>
      </c>
      <c r="F50" s="134">
        <f>$G50*[2]NT!$L$103/100</f>
        <v>124747.50159130291</v>
      </c>
      <c r="G50" s="66">
        <f>[2]NT!$AG$51</f>
        <v>290110.46881698351</v>
      </c>
      <c r="H50" s="257"/>
      <c r="I50" s="41"/>
      <c r="J50" s="218">
        <f>SUM(J46,J41,J38,J37,J27,J22,J16,J12)</f>
        <v>40615.465634377695</v>
      </c>
      <c r="K50" s="218"/>
      <c r="L50" s="42">
        <f>SUM(L46,L41,L38,L37,L27,L22,L16,L12)</f>
        <v>290107.68143862445</v>
      </c>
      <c r="M50" s="43"/>
      <c r="N50" s="44">
        <f>SUM(N46,N41,N38,N37,N27,N22,N16,N12,N49)</f>
        <v>115256.16749664844</v>
      </c>
      <c r="O50" s="45">
        <f>SUM(O46,O41,O38,O37,O27,O22,O16,O12,O49)</f>
        <v>37739.951001677284</v>
      </c>
      <c r="P50" s="45">
        <f>SUM(P46,P41,P38,P37,P27,P22,P16,P12,P49)</f>
        <v>123279.5695266554</v>
      </c>
      <c r="Q50" s="133">
        <f>SUM(Q46,Q41,Q38,Q37,Q27,Q22,Q16,Q12,Q49)</f>
        <v>276275.68802498112</v>
      </c>
      <c r="R50" s="27">
        <f>SUM(R46,R41,R38,R37,R27,R22,R16,R12)</f>
        <v>1197.3307447028994</v>
      </c>
      <c r="T50" s="60">
        <f>SUM(T7:T49)</f>
        <v>3968</v>
      </c>
      <c r="U50" s="134">
        <f>SUM(U7:U49)</f>
        <v>436.83</v>
      </c>
      <c r="V50" s="134"/>
      <c r="W50" s="66"/>
      <c r="X50" s="362"/>
      <c r="Y50" s="362"/>
      <c r="Z50" s="362"/>
      <c r="AA50" s="642">
        <f>SUM(AA7:AA49)</f>
        <v>0</v>
      </c>
      <c r="AB50" s="45"/>
      <c r="AC50" s="45"/>
      <c r="AD50" s="45"/>
      <c r="AE50" s="45"/>
      <c r="AF50" s="230"/>
      <c r="AG50" s="44">
        <f>SUM(AG46,AG41,AG38,AG37,AG27,AG22,AG16,AG12,AG49)</f>
        <v>13555.261369799335</v>
      </c>
      <c r="AH50" s="45">
        <f>SUM(AH46,AH41,AH38,AH37,AH27,AH22,AH16,AH12,AH49)</f>
        <v>436.83</v>
      </c>
      <c r="AI50" s="45">
        <f>SUM(AI46,AI41,AI38,AI37,AI27,AI22,AI16,AI12,AI49)</f>
        <v>0</v>
      </c>
      <c r="AJ50" s="354">
        <f>SUM(AJ46,AJ41,AJ38,AJ37,AJ27,AJ22,AJ16,AJ12,AJ49)</f>
        <v>13992.091369799335</v>
      </c>
      <c r="AK50" s="27">
        <f>SUM(AK46,AK41,AK38,AK37,AK27,AK22,AK16,AK12,AK49)</f>
        <v>60.639288601601486</v>
      </c>
      <c r="AL50" s="19"/>
      <c r="AM50" s="60"/>
      <c r="AN50" s="706"/>
      <c r="AO50" s="707"/>
      <c r="AP50" s="66"/>
      <c r="AQ50" s="71"/>
      <c r="AR50" s="45">
        <f>SUM(AR7:AR49)</f>
        <v>17038.552496666023</v>
      </c>
      <c r="AS50" s="46">
        <f>SUM(AS7:AS49)</f>
        <v>1.0000000000000002</v>
      </c>
      <c r="AT50" s="45">
        <f>SUM(AT7:AT49)</f>
        <v>24978.534684320632</v>
      </c>
      <c r="AU50" s="47"/>
      <c r="AV50" s="45"/>
      <c r="AW50" s="214"/>
      <c r="AX50" s="43"/>
      <c r="AY50" s="44">
        <f>SUM(AY46,AY41,AY38,AY37,AY27,AY22,AY16,AY12)</f>
        <v>9491.3340946544467</v>
      </c>
      <c r="AZ50" s="45">
        <f>SUM(AZ46,AZ41,AZ38,AZ37,AZ27,AZ22,AZ16,AZ12)</f>
        <v>2875.5146327004068</v>
      </c>
      <c r="BA50" s="45">
        <f>SUM(BA46,BA41,BA38,BA37,BA27,BA22,BA16,BA12)</f>
        <v>1465.1446862884422</v>
      </c>
      <c r="BB50" s="354">
        <f>SUM(BB46,BB41,BB38,BB37,BB27,BB22,BB16,BB12,BB49)</f>
        <v>13831.993413643297</v>
      </c>
      <c r="BC50" s="27">
        <f>SUM(BC46,BC41,BC38,BC37,BC27,BC22,BC16,BC12,BC49)</f>
        <v>59.945451925489813</v>
      </c>
    </row>
    <row r="51" spans="1:73" ht="13.5" thickBot="1">
      <c r="C51" s="136" t="s">
        <v>65</v>
      </c>
      <c r="Q51" s="49">
        <f>Q50+Q47</f>
        <v>276275.68802498112</v>
      </c>
      <c r="R51" s="216">
        <f>R50+R47</f>
        <v>1197.3307447028994</v>
      </c>
      <c r="AJ51" s="353">
        <f>AJ50+AJ47</f>
        <v>13992.091369799335</v>
      </c>
      <c r="AK51" s="216">
        <f>AK50+AK47</f>
        <v>60.639288601601486</v>
      </c>
      <c r="AW51" s="152"/>
      <c r="BB51" s="353">
        <f>BB50+BB47</f>
        <v>13831.993413643297</v>
      </c>
      <c r="BC51" s="216">
        <f>BC50+BC47</f>
        <v>59.945451925489813</v>
      </c>
    </row>
    <row r="52" spans="1:73">
      <c r="AB52" s="52"/>
      <c r="AC52" s="52"/>
    </row>
    <row r="53" spans="1:73" ht="13.5" thickBot="1">
      <c r="W53" s="215"/>
      <c r="AT53" s="215"/>
      <c r="AU53" s="215"/>
      <c r="AV53" s="215"/>
      <c r="AW53" s="215"/>
    </row>
    <row r="54" spans="1:73">
      <c r="A54" s="699" t="s">
        <v>81</v>
      </c>
      <c r="B54" s="16" t="s">
        <v>3</v>
      </c>
      <c r="C54" s="148" t="s">
        <v>16</v>
      </c>
      <c r="D54" s="55"/>
      <c r="E54" s="56"/>
      <c r="F54" s="56"/>
      <c r="G54" s="149"/>
      <c r="H54" s="150"/>
      <c r="I54" s="151"/>
      <c r="J54" s="26"/>
      <c r="K54" s="26"/>
      <c r="L54" s="133"/>
      <c r="M54" s="56"/>
      <c r="N54" s="16"/>
      <c r="O54" s="18"/>
      <c r="P54" s="18"/>
      <c r="Q54" s="244"/>
      <c r="R54" s="24"/>
      <c r="S54" s="152"/>
      <c r="T54" s="55"/>
      <c r="U54" s="56"/>
      <c r="V54" s="56"/>
      <c r="W54" s="199"/>
      <c r="X54" s="197"/>
      <c r="Y54" s="197"/>
      <c r="Z54" s="197"/>
      <c r="AA54" s="290"/>
      <c r="AB54" s="26"/>
      <c r="AC54" s="26"/>
      <c r="AD54" s="26"/>
      <c r="AE54" s="26"/>
      <c r="AF54" s="84"/>
      <c r="AG54" s="151"/>
      <c r="AH54" s="26"/>
      <c r="AI54" s="26"/>
      <c r="AJ54" s="133"/>
      <c r="AK54" s="27"/>
      <c r="AL54" s="18"/>
      <c r="AM54" s="55"/>
      <c r="AN54" s="56"/>
      <c r="AO54" s="56"/>
      <c r="AP54" s="149"/>
      <c r="AQ54" s="153"/>
      <c r="AR54" s="26"/>
      <c r="AS54" s="26"/>
      <c r="AT54" s="21"/>
      <c r="AU54" s="25"/>
      <c r="AV54" s="21"/>
      <c r="AW54" s="22"/>
      <c r="AX54" s="56"/>
      <c r="AY54" s="16"/>
      <c r="AZ54" s="18"/>
      <c r="BA54" s="18"/>
      <c r="BB54" s="244"/>
      <c r="BC54" s="28"/>
      <c r="BD54" s="8"/>
      <c r="BH54" s="700" t="s">
        <v>86</v>
      </c>
      <c r="BI54" s="701"/>
      <c r="BJ54" s="701"/>
      <c r="BK54" s="701"/>
      <c r="BL54" s="702"/>
      <c r="BM54" s="700" t="s">
        <v>87</v>
      </c>
      <c r="BN54" s="702"/>
      <c r="BP54" s="8"/>
      <c r="BQ54" s="8"/>
      <c r="BR54" s="8"/>
      <c r="BS54" s="8"/>
      <c r="BT54" s="8"/>
      <c r="BU54" s="8"/>
    </row>
    <row r="55" spans="1:73">
      <c r="A55" s="699"/>
      <c r="B55" s="23"/>
      <c r="C55" s="17" t="s">
        <v>17</v>
      </c>
      <c r="D55" s="57"/>
      <c r="E55" s="2"/>
      <c r="F55" s="2"/>
      <c r="G55" s="63"/>
      <c r="H55" s="5"/>
      <c r="I55" s="20"/>
      <c r="J55" s="21"/>
      <c r="K55" s="21"/>
      <c r="L55" s="22"/>
      <c r="M55" s="2"/>
      <c r="N55" s="23"/>
      <c r="O55" s="19"/>
      <c r="P55" s="19"/>
      <c r="Q55" s="19"/>
      <c r="R55" s="24"/>
      <c r="T55" s="57"/>
      <c r="U55" s="2"/>
      <c r="V55" s="2"/>
      <c r="W55" s="199"/>
      <c r="X55" s="198"/>
      <c r="Y55" s="198"/>
      <c r="Z55" s="198"/>
      <c r="AA55" s="272"/>
      <c r="AB55" s="21"/>
      <c r="AC55" s="21"/>
      <c r="AD55" s="21"/>
      <c r="AE55" s="21"/>
      <c r="AF55" s="70"/>
      <c r="AG55" s="20"/>
      <c r="AH55" s="21"/>
      <c r="AI55" s="21"/>
      <c r="AJ55" s="22"/>
      <c r="AK55" s="29"/>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7"/>
      <c r="BS55" s="7"/>
      <c r="BT55" s="7"/>
      <c r="BU55" s="7"/>
    </row>
    <row r="56" spans="1:73">
      <c r="A56" s="699"/>
      <c r="B56" s="23"/>
      <c r="C56" s="17" t="s">
        <v>18</v>
      </c>
      <c r="D56" s="57"/>
      <c r="E56" s="2"/>
      <c r="F56" s="2"/>
      <c r="G56" s="63"/>
      <c r="H56" s="5"/>
      <c r="I56" s="20"/>
      <c r="J56" s="21"/>
      <c r="K56" s="21"/>
      <c r="L56" s="22"/>
      <c r="M56" s="2"/>
      <c r="N56" s="23"/>
      <c r="O56" s="19"/>
      <c r="P56" s="19"/>
      <c r="Q56" s="19"/>
      <c r="R56" s="24"/>
      <c r="T56" s="57"/>
      <c r="U56" s="2"/>
      <c r="V56" s="2"/>
      <c r="W56" s="199"/>
      <c r="X56" s="198"/>
      <c r="Y56" s="198"/>
      <c r="Z56" s="198"/>
      <c r="AA56" s="272"/>
      <c r="AB56" s="21"/>
      <c r="AC56" s="21"/>
      <c r="AD56" s="21"/>
      <c r="AE56" s="21"/>
      <c r="AF56" s="70"/>
      <c r="AG56" s="20"/>
      <c r="AH56" s="21"/>
      <c r="AI56" s="21"/>
      <c r="AJ56" s="22"/>
      <c r="AK56" s="29"/>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0"/>
      <c r="BS56" s="31"/>
      <c r="BT56" s="31"/>
      <c r="BU56" s="32"/>
    </row>
    <row r="57" spans="1:73">
      <c r="A57" s="699"/>
      <c r="B57" s="23"/>
      <c r="C57" s="17" t="s">
        <v>182</v>
      </c>
      <c r="D57" s="57"/>
      <c r="E57" s="2"/>
      <c r="F57" s="2"/>
      <c r="G57" s="63"/>
      <c r="H57" s="2"/>
      <c r="I57" s="20"/>
      <c r="J57" s="21"/>
      <c r="K57" s="21"/>
      <c r="L57" s="22"/>
      <c r="M57" s="2"/>
      <c r="N57" s="23"/>
      <c r="O57" s="19"/>
      <c r="P57" s="19"/>
      <c r="Q57" s="19"/>
      <c r="R57" s="24"/>
      <c r="T57" s="57"/>
      <c r="U57" s="2"/>
      <c r="V57" s="2"/>
      <c r="W57" s="199"/>
      <c r="X57" s="198"/>
      <c r="Y57" s="198"/>
      <c r="Z57" s="198"/>
      <c r="AA57" s="274"/>
      <c r="AB57" s="21"/>
      <c r="AC57" s="21"/>
      <c r="AD57" s="21"/>
      <c r="AE57" s="21"/>
      <c r="AF57" s="70"/>
      <c r="AG57" s="20"/>
      <c r="AH57" s="21"/>
      <c r="AI57" s="21"/>
      <c r="AJ57" s="22"/>
      <c r="AK57" s="29"/>
      <c r="AL57" s="19"/>
      <c r="AM57" s="57"/>
      <c r="AN57" s="2"/>
      <c r="AO57" s="2"/>
      <c r="AP57" s="63"/>
      <c r="AQ57" s="68"/>
      <c r="AR57" s="21"/>
      <c r="AS57" s="21"/>
      <c r="AT57" s="21"/>
      <c r="AU57" s="25"/>
      <c r="AV57" s="21"/>
      <c r="AW57" s="22"/>
      <c r="AX57" s="2"/>
      <c r="AY57" s="23"/>
      <c r="AZ57" s="19"/>
      <c r="BA57" s="19"/>
      <c r="BB57" s="19"/>
      <c r="BC57" s="24"/>
      <c r="BD57" s="30"/>
      <c r="BG57" s="145" t="s">
        <v>72</v>
      </c>
      <c r="BH57" s="52">
        <f>N97/1000</f>
        <v>0</v>
      </c>
      <c r="BI57" s="52">
        <f>O97/1000</f>
        <v>0</v>
      </c>
      <c r="BJ57" s="52">
        <f>P97/1000</f>
        <v>0</v>
      </c>
      <c r="BK57" s="53">
        <f>Q97/1000</f>
        <v>0</v>
      </c>
      <c r="BL57" s="54">
        <f>R97/1000</f>
        <v>0</v>
      </c>
      <c r="BM57" s="51">
        <f>Q98/1000</f>
        <v>0</v>
      </c>
      <c r="BN57" s="54">
        <f>R98/1000</f>
        <v>0</v>
      </c>
      <c r="BP57" s="30"/>
      <c r="BQ57" s="30"/>
      <c r="BR57" s="30"/>
      <c r="BS57" s="31"/>
      <c r="BT57" s="31"/>
      <c r="BU57" s="32"/>
    </row>
    <row r="58" spans="1:73">
      <c r="A58" s="699"/>
      <c r="B58" s="23"/>
      <c r="C58" s="17" t="s">
        <v>183</v>
      </c>
      <c r="D58" s="57"/>
      <c r="E58" s="2"/>
      <c r="F58" s="2"/>
      <c r="G58" s="63"/>
      <c r="H58" s="2"/>
      <c r="I58" s="20"/>
      <c r="J58" s="21"/>
      <c r="K58" s="21"/>
      <c r="L58" s="22"/>
      <c r="M58" s="2"/>
      <c r="N58" s="23"/>
      <c r="O58" s="19"/>
      <c r="P58" s="19"/>
      <c r="Q58" s="19"/>
      <c r="R58" s="33"/>
      <c r="T58" s="57"/>
      <c r="U58" s="2"/>
      <c r="V58" s="2"/>
      <c r="W58" s="199"/>
      <c r="X58" s="198"/>
      <c r="Y58" s="198"/>
      <c r="Z58" s="198"/>
      <c r="AA58" s="274"/>
      <c r="AB58" s="21"/>
      <c r="AC58" s="21"/>
      <c r="AD58" s="21"/>
      <c r="AE58" s="21"/>
      <c r="AF58" s="70"/>
      <c r="AG58" s="20"/>
      <c r="AH58" s="21"/>
      <c r="AI58" s="21"/>
      <c r="AJ58" s="22"/>
      <c r="AK58" s="29"/>
      <c r="AL58" s="19"/>
      <c r="AM58" s="57"/>
      <c r="AN58" s="2"/>
      <c r="AO58" s="2"/>
      <c r="AP58" s="63"/>
      <c r="AQ58" s="68"/>
      <c r="AR58" s="21"/>
      <c r="AS58" s="21"/>
      <c r="AT58" s="21"/>
      <c r="AU58" s="25"/>
      <c r="AV58" s="21"/>
      <c r="AW58" s="22"/>
      <c r="AX58" s="2"/>
      <c r="AY58" s="23"/>
      <c r="AZ58" s="19"/>
      <c r="BA58" s="19"/>
      <c r="BB58" s="19"/>
      <c r="BC58" s="24"/>
      <c r="BD58" s="30"/>
      <c r="BG58" s="77" t="s">
        <v>68</v>
      </c>
      <c r="BH58" s="52">
        <f>AG97/1000</f>
        <v>0</v>
      </c>
      <c r="BI58" s="52">
        <f>AH97/1000</f>
        <v>0</v>
      </c>
      <c r="BJ58" s="52">
        <f>AI97/1000</f>
        <v>0</v>
      </c>
      <c r="BK58" s="53">
        <f>AJ97/1000</f>
        <v>0</v>
      </c>
      <c r="BL58" s="54">
        <f>AK97/1000</f>
        <v>0</v>
      </c>
      <c r="BM58" s="51">
        <f>AJ98/1000</f>
        <v>0</v>
      </c>
      <c r="BN58" s="54">
        <f>AK98/1000</f>
        <v>0</v>
      </c>
    </row>
    <row r="59" spans="1:73" s="106" customFormat="1">
      <c r="A59" s="699"/>
      <c r="B59" s="107" t="s">
        <v>67</v>
      </c>
      <c r="C59" s="108"/>
      <c r="D59" s="109"/>
      <c r="E59" s="110"/>
      <c r="F59" s="110"/>
      <c r="G59" s="111"/>
      <c r="H59" s="110"/>
      <c r="I59" s="112"/>
      <c r="J59" s="113"/>
      <c r="K59" s="113"/>
      <c r="L59" s="114"/>
      <c r="M59" s="110"/>
      <c r="N59" s="112"/>
      <c r="O59" s="113"/>
      <c r="P59" s="113"/>
      <c r="Q59" s="114"/>
      <c r="R59" s="115"/>
      <c r="T59" s="109"/>
      <c r="U59" s="110"/>
      <c r="V59" s="2"/>
      <c r="W59" s="203"/>
      <c r="X59" s="130"/>
      <c r="Y59" s="130"/>
      <c r="Z59" s="130"/>
      <c r="AA59" s="276"/>
      <c r="AB59" s="113"/>
      <c r="AC59" s="113"/>
      <c r="AD59" s="113"/>
      <c r="AE59" s="113"/>
      <c r="AF59" s="117"/>
      <c r="AG59" s="112"/>
      <c r="AH59" s="113"/>
      <c r="AI59" s="113"/>
      <c r="AJ59" s="114"/>
      <c r="AK59" s="118"/>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0</v>
      </c>
      <c r="BI59" s="52">
        <f>AZ97/1000</f>
        <v>0</v>
      </c>
      <c r="BJ59" s="52">
        <f>BA97/1000</f>
        <v>0</v>
      </c>
      <c r="BK59" s="53">
        <f>BB97/1000</f>
        <v>0</v>
      </c>
      <c r="BL59" s="54">
        <f>BC97/1000</f>
        <v>0</v>
      </c>
      <c r="BM59" s="51">
        <f>BB98/1000</f>
        <v>0</v>
      </c>
      <c r="BN59" s="54">
        <f>BC98/1000</f>
        <v>0</v>
      </c>
      <c r="BO59" s="6"/>
    </row>
    <row r="60" spans="1:73">
      <c r="A60" s="699"/>
      <c r="B60" s="23" t="s">
        <v>4</v>
      </c>
      <c r="C60" s="17" t="s">
        <v>19</v>
      </c>
      <c r="D60" s="57"/>
      <c r="E60" s="2"/>
      <c r="F60" s="2"/>
      <c r="G60" s="63"/>
      <c r="H60" s="2"/>
      <c r="I60" s="20"/>
      <c r="J60" s="21"/>
      <c r="K60" s="21"/>
      <c r="L60" s="22"/>
      <c r="M60" s="2"/>
      <c r="N60" s="23"/>
      <c r="O60" s="19"/>
      <c r="P60" s="19"/>
      <c r="Q60" s="19"/>
      <c r="R60" s="33"/>
      <c r="T60" s="57"/>
      <c r="U60" s="2"/>
      <c r="V60" s="2"/>
      <c r="W60" s="199"/>
      <c r="X60" s="198"/>
      <c r="Y60" s="198"/>
      <c r="Z60" s="198"/>
      <c r="AA60" s="274"/>
      <c r="AB60" s="21"/>
      <c r="AC60" s="21"/>
      <c r="AD60" s="21"/>
      <c r="AE60" s="21"/>
      <c r="AF60" s="70"/>
      <c r="AG60" s="20"/>
      <c r="AH60" s="21"/>
      <c r="AI60" s="21"/>
      <c r="AJ60" s="22"/>
      <c r="AK60" s="29"/>
      <c r="AL60" s="19"/>
      <c r="AM60" s="57"/>
      <c r="AN60" s="2"/>
      <c r="AO60" s="2"/>
      <c r="AP60" s="63"/>
      <c r="AQ60" s="68"/>
      <c r="AR60" s="21"/>
      <c r="AS60" s="21"/>
      <c r="AT60" s="21"/>
      <c r="AU60" s="25"/>
      <c r="AV60" s="21"/>
      <c r="AW60" s="22"/>
      <c r="AX60" s="2"/>
      <c r="AY60" s="23"/>
      <c r="AZ60" s="19"/>
      <c r="BA60" s="19"/>
      <c r="BB60" s="19"/>
      <c r="BC60" s="24"/>
      <c r="BD60" s="30"/>
      <c r="BG60" s="145" t="s">
        <v>73</v>
      </c>
      <c r="BH60" s="86" t="e">
        <f t="shared" ref="BH60:BN60" si="5">SUM(BH58:BH59)/BH61</f>
        <v>#DIV/0!</v>
      </c>
      <c r="BI60" s="86" t="e">
        <f t="shared" si="5"/>
        <v>#DIV/0!</v>
      </c>
      <c r="BJ60" s="86" t="e">
        <f t="shared" si="5"/>
        <v>#DIV/0!</v>
      </c>
      <c r="BK60" s="87" t="e">
        <f t="shared" si="5"/>
        <v>#DIV/0!</v>
      </c>
      <c r="BL60" s="87" t="e">
        <f t="shared" si="5"/>
        <v>#DIV/0!</v>
      </c>
      <c r="BM60" s="88" t="e">
        <f t="shared" si="5"/>
        <v>#DIV/0!</v>
      </c>
      <c r="BN60" s="87" t="e">
        <f t="shared" si="5"/>
        <v>#DIV/0!</v>
      </c>
    </row>
    <row r="61" spans="1:73">
      <c r="A61" s="699"/>
      <c r="B61" s="23"/>
      <c r="C61" s="17" t="s">
        <v>20</v>
      </c>
      <c r="D61" s="57"/>
      <c r="E61" s="2"/>
      <c r="F61" s="2"/>
      <c r="G61" s="63"/>
      <c r="H61" s="2"/>
      <c r="I61" s="20"/>
      <c r="J61" s="21"/>
      <c r="K61" s="21"/>
      <c r="L61" s="22"/>
      <c r="M61" s="2"/>
      <c r="N61" s="23"/>
      <c r="O61" s="19"/>
      <c r="P61" s="19"/>
      <c r="Q61" s="19"/>
      <c r="R61" s="33"/>
      <c r="T61" s="57"/>
      <c r="U61" s="2"/>
      <c r="V61" s="2"/>
      <c r="W61" s="199"/>
      <c r="X61" s="198"/>
      <c r="Y61" s="198"/>
      <c r="Z61" s="198"/>
      <c r="AA61" s="274"/>
      <c r="AB61" s="21"/>
      <c r="AC61" s="21"/>
      <c r="AD61" s="21"/>
      <c r="AE61" s="21"/>
      <c r="AF61" s="70"/>
      <c r="AG61" s="20"/>
      <c r="AH61" s="21"/>
      <c r="AI61" s="21"/>
      <c r="AJ61" s="22"/>
      <c r="AK61" s="29"/>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6">SUM(BH57:BH59)</f>
        <v>0</v>
      </c>
      <c r="BI61" s="52">
        <f t="shared" si="6"/>
        <v>0</v>
      </c>
      <c r="BJ61" s="52">
        <f t="shared" si="6"/>
        <v>0</v>
      </c>
      <c r="BK61" s="74">
        <f t="shared" si="6"/>
        <v>0</v>
      </c>
      <c r="BL61" s="76">
        <f t="shared" si="6"/>
        <v>0</v>
      </c>
      <c r="BM61" s="81">
        <f t="shared" si="6"/>
        <v>0</v>
      </c>
      <c r="BN61" s="76">
        <f t="shared" si="6"/>
        <v>0</v>
      </c>
    </row>
    <row r="62" spans="1:73">
      <c r="A62" s="699"/>
      <c r="B62" s="23"/>
      <c r="C62" s="17" t="s">
        <v>21</v>
      </c>
      <c r="D62" s="57"/>
      <c r="E62" s="2"/>
      <c r="F62" s="2"/>
      <c r="G62" s="63"/>
      <c r="H62" s="2"/>
      <c r="I62" s="20"/>
      <c r="J62" s="21"/>
      <c r="K62" s="21"/>
      <c r="L62" s="22"/>
      <c r="M62" s="2"/>
      <c r="N62" s="23"/>
      <c r="O62" s="19"/>
      <c r="P62" s="19"/>
      <c r="Q62" s="19"/>
      <c r="R62" s="33"/>
      <c r="T62" s="57"/>
      <c r="U62" s="2"/>
      <c r="V62" s="2"/>
      <c r="W62" s="199"/>
      <c r="X62" s="198"/>
      <c r="Y62" s="198"/>
      <c r="Z62" s="198"/>
      <c r="AA62" s="274"/>
      <c r="AB62" s="21"/>
      <c r="AC62" s="21"/>
      <c r="AD62" s="21"/>
      <c r="AE62" s="21"/>
      <c r="AF62" s="70"/>
      <c r="AG62" s="20"/>
      <c r="AH62" s="21"/>
      <c r="AI62" s="21"/>
      <c r="AJ62" s="22"/>
      <c r="AK62" s="29"/>
      <c r="AL62" s="19"/>
      <c r="AM62" s="57"/>
      <c r="AN62" s="2"/>
      <c r="AO62" s="2"/>
      <c r="AP62" s="63"/>
      <c r="AQ62" s="68"/>
      <c r="AR62" s="21"/>
      <c r="AS62" s="21"/>
      <c r="AT62" s="21"/>
      <c r="AU62" s="25"/>
      <c r="AV62" s="21"/>
      <c r="AW62" s="22"/>
      <c r="AX62" s="2"/>
      <c r="AY62" s="23"/>
      <c r="AZ62" s="19"/>
      <c r="BA62" s="19"/>
      <c r="BB62" s="19"/>
      <c r="BC62" s="24"/>
      <c r="BD62" s="30"/>
    </row>
    <row r="63" spans="1:73" s="106" customFormat="1">
      <c r="A63" s="699"/>
      <c r="B63" s="107" t="s">
        <v>67</v>
      </c>
      <c r="C63" s="108"/>
      <c r="D63" s="109"/>
      <c r="E63" s="110"/>
      <c r="F63" s="110"/>
      <c r="G63" s="111"/>
      <c r="H63" s="110"/>
      <c r="I63" s="112"/>
      <c r="J63" s="113"/>
      <c r="K63" s="113"/>
      <c r="L63" s="114"/>
      <c r="M63" s="110"/>
      <c r="N63" s="112"/>
      <c r="O63" s="113"/>
      <c r="P63" s="113"/>
      <c r="Q63" s="114"/>
      <c r="R63" s="115"/>
      <c r="T63" s="109"/>
      <c r="U63" s="110"/>
      <c r="V63" s="2"/>
      <c r="W63" s="203"/>
      <c r="X63" s="130"/>
      <c r="Y63" s="130"/>
      <c r="Z63" s="130"/>
      <c r="AA63" s="276"/>
      <c r="AB63" s="113"/>
      <c r="AC63" s="113"/>
      <c r="AD63" s="113"/>
      <c r="AE63" s="113"/>
      <c r="AF63" s="117"/>
      <c r="AG63" s="112"/>
      <c r="AH63" s="113"/>
      <c r="AI63" s="113"/>
      <c r="AJ63" s="114"/>
      <c r="AK63" s="118"/>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row>
    <row r="64" spans="1:73">
      <c r="A64" s="699"/>
      <c r="B64" s="23" t="s">
        <v>2</v>
      </c>
      <c r="C64" s="17" t="s">
        <v>22</v>
      </c>
      <c r="D64" s="57"/>
      <c r="E64" s="2"/>
      <c r="F64" s="2"/>
      <c r="G64" s="63"/>
      <c r="H64" s="2"/>
      <c r="I64" s="20"/>
      <c r="J64" s="21"/>
      <c r="K64" s="21"/>
      <c r="L64" s="22"/>
      <c r="M64" s="2"/>
      <c r="N64" s="20"/>
      <c r="O64" s="21"/>
      <c r="P64" s="21"/>
      <c r="Q64" s="21"/>
      <c r="R64" s="34"/>
      <c r="T64" s="57"/>
      <c r="U64" s="2"/>
      <c r="V64" s="2"/>
      <c r="W64" s="199"/>
      <c r="X64" s="198"/>
      <c r="Y64" s="198"/>
      <c r="Z64" s="198"/>
      <c r="AA64" s="274"/>
      <c r="AB64" s="21"/>
      <c r="AC64" s="21"/>
      <c r="AD64" s="21"/>
      <c r="AE64" s="21"/>
      <c r="AF64" s="70"/>
      <c r="AG64" s="20"/>
      <c r="AH64" s="21"/>
      <c r="AI64" s="21"/>
      <c r="AJ64" s="22"/>
      <c r="AK64" s="29"/>
      <c r="AL64" s="19"/>
      <c r="AM64" s="57"/>
      <c r="AN64" s="2"/>
      <c r="AO64" s="2"/>
      <c r="AP64" s="63"/>
      <c r="AQ64" s="70"/>
      <c r="AR64" s="21"/>
      <c r="AS64" s="35"/>
      <c r="AT64" s="21"/>
      <c r="AU64" s="25"/>
      <c r="AV64" s="21"/>
      <c r="AW64" s="22"/>
      <c r="AX64" s="82"/>
      <c r="AY64" s="20"/>
      <c r="AZ64" s="21"/>
      <c r="BA64" s="21"/>
      <c r="BB64" s="21"/>
      <c r="BC64" s="29"/>
      <c r="BD64" s="30"/>
    </row>
    <row r="65" spans="1:67">
      <c r="A65" s="699"/>
      <c r="B65" s="23"/>
      <c r="C65" s="17" t="s">
        <v>23</v>
      </c>
      <c r="D65" s="57"/>
      <c r="E65" s="2"/>
      <c r="F65" s="2"/>
      <c r="G65" s="63"/>
      <c r="H65" s="2"/>
      <c r="I65" s="20"/>
      <c r="J65" s="21"/>
      <c r="K65" s="21"/>
      <c r="L65" s="22"/>
      <c r="M65" s="2"/>
      <c r="N65" s="20"/>
      <c r="O65" s="21"/>
      <c r="P65" s="21"/>
      <c r="Q65" s="21"/>
      <c r="R65" s="34"/>
      <c r="T65" s="201"/>
      <c r="U65" s="2"/>
      <c r="V65" s="2"/>
      <c r="W65" s="199"/>
      <c r="X65" s="198"/>
      <c r="Y65" s="198"/>
      <c r="Z65" s="198"/>
      <c r="AA65" s="274"/>
      <c r="AB65" s="21"/>
      <c r="AC65" s="21"/>
      <c r="AD65" s="21"/>
      <c r="AE65" s="21"/>
      <c r="AF65" s="70"/>
      <c r="AG65" s="20"/>
      <c r="AH65" s="21"/>
      <c r="AI65" s="21"/>
      <c r="AJ65" s="22"/>
      <c r="AK65" s="29"/>
      <c r="AL65" s="19"/>
      <c r="AM65" s="57"/>
      <c r="AN65" s="2"/>
      <c r="AO65" s="2"/>
      <c r="AP65" s="63"/>
      <c r="AQ65" s="68"/>
      <c r="AR65" s="21"/>
      <c r="AS65" s="35"/>
      <c r="AT65" s="21"/>
      <c r="AU65" s="25"/>
      <c r="AV65" s="21"/>
      <c r="AW65" s="22"/>
      <c r="AX65" s="2"/>
      <c r="AY65" s="20"/>
      <c r="AZ65" s="21"/>
      <c r="BA65" s="21"/>
      <c r="BB65" s="21"/>
      <c r="BC65" s="29"/>
      <c r="BD65" s="36"/>
    </row>
    <row r="66" spans="1:67">
      <c r="A66" s="699"/>
      <c r="B66" s="23"/>
      <c r="C66" s="17" t="s">
        <v>24</v>
      </c>
      <c r="D66" s="57"/>
      <c r="E66" s="2"/>
      <c r="F66" s="2"/>
      <c r="G66" s="63"/>
      <c r="H66" s="2"/>
      <c r="I66" s="20"/>
      <c r="J66" s="21"/>
      <c r="K66" s="21"/>
      <c r="L66" s="22"/>
      <c r="M66" s="2"/>
      <c r="N66" s="20"/>
      <c r="O66" s="21"/>
      <c r="P66" s="21"/>
      <c r="Q66" s="21"/>
      <c r="R66" s="34"/>
      <c r="T66" s="57"/>
      <c r="U66" s="2"/>
      <c r="V66" s="2"/>
      <c r="W66" s="199"/>
      <c r="X66" s="198"/>
      <c r="Y66" s="198"/>
      <c r="Z66" s="198"/>
      <c r="AA66" s="274"/>
      <c r="AB66" s="21"/>
      <c r="AC66" s="21"/>
      <c r="AD66" s="21"/>
      <c r="AE66" s="21"/>
      <c r="AF66" s="70"/>
      <c r="AG66" s="20"/>
      <c r="AH66" s="21"/>
      <c r="AI66" s="21"/>
      <c r="AJ66" s="22"/>
      <c r="AK66" s="29"/>
      <c r="AL66" s="19"/>
      <c r="AM66" s="57"/>
      <c r="AN66" s="2"/>
      <c r="AO66" s="2"/>
      <c r="AP66" s="63"/>
      <c r="AQ66" s="70"/>
      <c r="AR66" s="21"/>
      <c r="AS66" s="35"/>
      <c r="AT66" s="21"/>
      <c r="AU66" s="25"/>
      <c r="AV66" s="21"/>
      <c r="AW66" s="22"/>
      <c r="AX66" s="2"/>
      <c r="AY66" s="20"/>
      <c r="AZ66" s="21"/>
      <c r="BA66" s="21"/>
      <c r="BB66" s="21"/>
      <c r="BC66" s="29"/>
    </row>
    <row r="67" spans="1:67">
      <c r="A67" s="699"/>
      <c r="B67" s="23"/>
      <c r="C67" s="17" t="s">
        <v>25</v>
      </c>
      <c r="D67" s="57"/>
      <c r="E67" s="2"/>
      <c r="F67" s="2"/>
      <c r="G67" s="63"/>
      <c r="H67" s="2"/>
      <c r="I67" s="20"/>
      <c r="J67" s="21"/>
      <c r="K67" s="21"/>
      <c r="L67" s="22"/>
      <c r="M67" s="2"/>
      <c r="N67" s="20"/>
      <c r="O67" s="21"/>
      <c r="P67" s="21"/>
      <c r="Q67" s="21"/>
      <c r="R67" s="34"/>
      <c r="T67" s="57"/>
      <c r="U67" s="2"/>
      <c r="V67" s="2"/>
      <c r="W67" s="199"/>
      <c r="X67" s="198"/>
      <c r="Y67" s="198"/>
      <c r="Z67" s="198"/>
      <c r="AA67" s="274"/>
      <c r="AB67" s="21"/>
      <c r="AC67" s="21"/>
      <c r="AD67" s="21"/>
      <c r="AE67" s="21"/>
      <c r="AF67" s="70"/>
      <c r="AG67" s="20"/>
      <c r="AH67" s="21"/>
      <c r="AI67" s="21"/>
      <c r="AJ67" s="22"/>
      <c r="AK67" s="29"/>
      <c r="AL67" s="19"/>
      <c r="AM67" s="57"/>
      <c r="AN67" s="2"/>
      <c r="AO67" s="2"/>
      <c r="AP67" s="63"/>
      <c r="AQ67" s="68"/>
      <c r="AR67" s="21"/>
      <c r="AS67" s="35"/>
      <c r="AT67" s="21"/>
      <c r="AU67" s="25"/>
      <c r="AV67" s="21"/>
      <c r="AW67" s="22"/>
      <c r="AX67" s="83"/>
      <c r="AY67" s="20"/>
      <c r="AZ67" s="21"/>
      <c r="BA67" s="21"/>
      <c r="BB67" s="21"/>
      <c r="BC67" s="29"/>
    </row>
    <row r="68" spans="1:67">
      <c r="A68" s="699"/>
      <c r="B68" s="23"/>
      <c r="C68" s="17" t="s">
        <v>0</v>
      </c>
      <c r="D68" s="57"/>
      <c r="E68" s="2"/>
      <c r="F68" s="2"/>
      <c r="G68" s="199"/>
      <c r="H68" s="198"/>
      <c r="I68" s="112"/>
      <c r="J68" s="21"/>
      <c r="K68" s="21"/>
      <c r="L68" s="22"/>
      <c r="M68" s="2"/>
      <c r="N68" s="20"/>
      <c r="O68" s="19"/>
      <c r="P68" s="19"/>
      <c r="Q68" s="19"/>
      <c r="R68" s="34"/>
      <c r="T68" s="57"/>
      <c r="U68" s="2"/>
      <c r="V68" s="2"/>
      <c r="W68" s="199"/>
      <c r="X68" s="198"/>
      <c r="Y68" s="198"/>
      <c r="Z68" s="198"/>
      <c r="AA68" s="278"/>
      <c r="AB68" s="21"/>
      <c r="AC68" s="21"/>
      <c r="AD68" s="21"/>
      <c r="AE68" s="21"/>
      <c r="AF68" s="70"/>
      <c r="AG68" s="20"/>
      <c r="AH68" s="21"/>
      <c r="AI68" s="21"/>
      <c r="AJ68" s="22"/>
      <c r="AK68" s="29"/>
      <c r="AL68" s="19"/>
      <c r="AM68" s="57"/>
      <c r="AN68" s="2"/>
      <c r="AO68" s="2"/>
      <c r="AP68" s="63"/>
      <c r="AQ68" s="68"/>
      <c r="AR68" s="21"/>
      <c r="AS68" s="35"/>
      <c r="AT68" s="21"/>
      <c r="AU68" s="25"/>
      <c r="AV68" s="21"/>
      <c r="AW68" s="22"/>
      <c r="AX68" s="2"/>
      <c r="AY68" s="23"/>
      <c r="AZ68" s="19"/>
      <c r="BA68" s="19"/>
      <c r="BB68" s="21"/>
      <c r="BC68" s="24"/>
    </row>
    <row r="69" spans="1:67" s="106" customFormat="1">
      <c r="A69" s="699"/>
      <c r="B69" s="107" t="s">
        <v>67</v>
      </c>
      <c r="C69" s="108"/>
      <c r="D69" s="109"/>
      <c r="E69" s="110"/>
      <c r="F69" s="110"/>
      <c r="G69" s="111"/>
      <c r="H69" s="110"/>
      <c r="I69" s="112"/>
      <c r="J69" s="113"/>
      <c r="K69" s="113"/>
      <c r="L69" s="114"/>
      <c r="M69" s="110"/>
      <c r="N69" s="112"/>
      <c r="O69" s="113"/>
      <c r="P69" s="113"/>
      <c r="Q69" s="114"/>
      <c r="R69" s="115"/>
      <c r="T69" s="109"/>
      <c r="U69" s="110"/>
      <c r="V69" s="2"/>
      <c r="W69" s="203"/>
      <c r="X69" s="130"/>
      <c r="Y69" s="130"/>
      <c r="Z69" s="130"/>
      <c r="AA69" s="276"/>
      <c r="AB69" s="113"/>
      <c r="AC69" s="113"/>
      <c r="AD69" s="113"/>
      <c r="AE69" s="113"/>
      <c r="AF69" s="117"/>
      <c r="AG69" s="112"/>
      <c r="AH69" s="113"/>
      <c r="AI69" s="113"/>
      <c r="AJ69" s="114"/>
      <c r="AK69" s="118"/>
      <c r="AL69" s="119"/>
      <c r="AM69" s="109"/>
      <c r="AN69" s="110"/>
      <c r="AO69" s="110"/>
      <c r="AP69" s="111"/>
      <c r="AQ69" s="116"/>
      <c r="AR69" s="113"/>
      <c r="AS69" s="113"/>
      <c r="AT69" s="113"/>
      <c r="AU69" s="120"/>
      <c r="AV69" s="113"/>
      <c r="AW69" s="114"/>
      <c r="AX69" s="110"/>
      <c r="AY69" s="241"/>
      <c r="AZ69" s="242"/>
      <c r="BA69" s="242"/>
      <c r="BB69" s="243"/>
      <c r="BC69" s="118"/>
      <c r="BD69" s="122"/>
      <c r="BG69" s="146"/>
      <c r="BH69" s="138" t="s">
        <v>72</v>
      </c>
      <c r="BI69" s="138" t="s">
        <v>68</v>
      </c>
      <c r="BJ69" s="138" t="s">
        <v>69</v>
      </c>
      <c r="BK69" s="138" t="s">
        <v>73</v>
      </c>
      <c r="BL69" s="138" t="s">
        <v>78</v>
      </c>
      <c r="BM69" s="6"/>
      <c r="BN69" s="6"/>
      <c r="BO69" s="6"/>
    </row>
    <row r="70" spans="1:67">
      <c r="A70" s="699"/>
      <c r="B70" s="23" t="s">
        <v>5</v>
      </c>
      <c r="C70" s="17" t="s">
        <v>26</v>
      </c>
      <c r="D70" s="57"/>
      <c r="E70" s="2"/>
      <c r="F70" s="2"/>
      <c r="G70" s="63"/>
      <c r="H70" s="2"/>
      <c r="I70" s="20"/>
      <c r="J70" s="21"/>
      <c r="K70" s="21"/>
      <c r="L70" s="22"/>
      <c r="M70" s="2"/>
      <c r="N70" s="23"/>
      <c r="O70" s="19"/>
      <c r="P70" s="19"/>
      <c r="Q70" s="19"/>
      <c r="R70" s="33"/>
      <c r="T70" s="57"/>
      <c r="U70" s="2"/>
      <c r="V70" s="2"/>
      <c r="W70" s="199"/>
      <c r="X70" s="198"/>
      <c r="Y70" s="198"/>
      <c r="Z70" s="198"/>
      <c r="AA70" s="274"/>
      <c r="AB70" s="21"/>
      <c r="AC70" s="21"/>
      <c r="AD70" s="21"/>
      <c r="AE70" s="21"/>
      <c r="AF70" s="70"/>
      <c r="AG70" s="20"/>
      <c r="AH70" s="21"/>
      <c r="AI70" s="21"/>
      <c r="AJ70" s="22"/>
      <c r="AK70" s="29"/>
      <c r="AL70" s="19"/>
      <c r="AM70" s="57"/>
      <c r="AN70" s="2"/>
      <c r="AO70" s="2"/>
      <c r="AP70" s="63"/>
      <c r="AQ70" s="68"/>
      <c r="AR70" s="21"/>
      <c r="AS70" s="21"/>
      <c r="AT70" s="21"/>
      <c r="AU70" s="240"/>
      <c r="AV70" s="19"/>
      <c r="AW70" s="195"/>
      <c r="AX70" s="2"/>
      <c r="AY70" s="238"/>
      <c r="BB70" s="19"/>
      <c r="BC70" s="24"/>
      <c r="BG70" s="147" t="s">
        <v>3</v>
      </c>
      <c r="BH70" s="52">
        <f>Q59/1000</f>
        <v>0</v>
      </c>
      <c r="BI70" s="52">
        <f>AJ59/1000</f>
        <v>0</v>
      </c>
      <c r="BJ70" s="52">
        <f>BB59/1000</f>
        <v>0</v>
      </c>
      <c r="BK70" s="137" t="e">
        <f>SUM(BI70:BJ70)/BL70</f>
        <v>#DIV/0!</v>
      </c>
      <c r="BL70" s="52">
        <f>SUM(BH70:BJ70)</f>
        <v>0</v>
      </c>
    </row>
    <row r="71" spans="1:67">
      <c r="A71" s="699"/>
      <c r="B71" s="23"/>
      <c r="C71" s="17" t="s">
        <v>27</v>
      </c>
      <c r="D71" s="57"/>
      <c r="E71" s="2"/>
      <c r="F71" s="2"/>
      <c r="G71" s="63"/>
      <c r="H71" s="2"/>
      <c r="I71" s="20"/>
      <c r="J71" s="21"/>
      <c r="K71" s="21"/>
      <c r="L71" s="22"/>
      <c r="M71" s="2"/>
      <c r="N71" s="23"/>
      <c r="O71" s="19"/>
      <c r="P71" s="19"/>
      <c r="Q71" s="19"/>
      <c r="R71" s="33"/>
      <c r="T71" s="57"/>
      <c r="U71" s="2"/>
      <c r="V71" s="2"/>
      <c r="W71" s="199"/>
      <c r="X71" s="198"/>
      <c r="Y71" s="198"/>
      <c r="Z71" s="198"/>
      <c r="AA71" s="274"/>
      <c r="AB71" s="21"/>
      <c r="AC71" s="21"/>
      <c r="AD71" s="21"/>
      <c r="AE71" s="21"/>
      <c r="AF71" s="70"/>
      <c r="AG71" s="20"/>
      <c r="AH71" s="21"/>
      <c r="AI71" s="21"/>
      <c r="AJ71" s="22"/>
      <c r="AK71" s="29"/>
      <c r="AL71" s="19"/>
      <c r="AM71" s="57"/>
      <c r="AN71" s="2"/>
      <c r="AO71" s="2"/>
      <c r="AP71" s="63"/>
      <c r="AQ71" s="68"/>
      <c r="AR71" s="21"/>
      <c r="AS71" s="21"/>
      <c r="AT71" s="21"/>
      <c r="AU71" s="240"/>
      <c r="AV71" s="19"/>
      <c r="AW71" s="195"/>
      <c r="AX71" s="2"/>
      <c r="AY71" s="238"/>
      <c r="BB71" s="19"/>
      <c r="BC71" s="24"/>
      <c r="BG71" s="147" t="s">
        <v>4</v>
      </c>
      <c r="BH71" s="52">
        <f>Q63/1000</f>
        <v>0</v>
      </c>
      <c r="BI71" s="52">
        <f>AJ63/1000</f>
        <v>0</v>
      </c>
      <c r="BJ71" s="52">
        <f>BB63/1000</f>
        <v>0</v>
      </c>
      <c r="BK71" s="137" t="e">
        <f t="shared" ref="BK71:BK78" si="7">SUM(BI71:BJ71)/BL71</f>
        <v>#DIV/0!</v>
      </c>
      <c r="BL71" s="52">
        <f t="shared" ref="BL71:BL78" si="8">SUM(BH71:BJ71)</f>
        <v>0</v>
      </c>
    </row>
    <row r="72" spans="1:67">
      <c r="A72" s="699"/>
      <c r="B72" s="23"/>
      <c r="C72" s="17" t="s">
        <v>28</v>
      </c>
      <c r="D72" s="57"/>
      <c r="E72" s="2"/>
      <c r="F72" s="2"/>
      <c r="G72" s="63"/>
      <c r="H72" s="2"/>
      <c r="I72" s="20"/>
      <c r="J72" s="21"/>
      <c r="K72" s="21"/>
      <c r="L72" s="22"/>
      <c r="M72" s="2"/>
      <c r="N72" s="23"/>
      <c r="O72" s="19"/>
      <c r="P72" s="19"/>
      <c r="Q72" s="19"/>
      <c r="R72" s="33"/>
      <c r="T72" s="57"/>
      <c r="U72" s="2"/>
      <c r="V72" s="2"/>
      <c r="W72" s="199"/>
      <c r="X72" s="198"/>
      <c r="Y72" s="198"/>
      <c r="Z72" s="198"/>
      <c r="AA72" s="274"/>
      <c r="AB72" s="21"/>
      <c r="AC72" s="21"/>
      <c r="AD72" s="21"/>
      <c r="AE72" s="21"/>
      <c r="AF72" s="70"/>
      <c r="AG72" s="20"/>
      <c r="AH72" s="21"/>
      <c r="AI72" s="21"/>
      <c r="AJ72" s="22"/>
      <c r="AK72" s="29"/>
      <c r="AL72" s="19"/>
      <c r="AM72" s="57"/>
      <c r="AN72" s="2"/>
      <c r="AO72" s="2"/>
      <c r="AP72" s="63"/>
      <c r="AQ72" s="68"/>
      <c r="AR72" s="21"/>
      <c r="AS72" s="21"/>
      <c r="AT72" s="21"/>
      <c r="AU72" s="240"/>
      <c r="AV72" s="19"/>
      <c r="AW72" s="195"/>
      <c r="AX72" s="2"/>
      <c r="AY72" s="238"/>
      <c r="BB72" s="19"/>
      <c r="BC72" s="24"/>
      <c r="BG72" s="147" t="s">
        <v>2</v>
      </c>
      <c r="BH72" s="52">
        <f>Q69/1000</f>
        <v>0</v>
      </c>
      <c r="BI72" s="52">
        <f>AJ69/1000</f>
        <v>0</v>
      </c>
      <c r="BJ72" s="52">
        <f>BB69/1000</f>
        <v>0</v>
      </c>
      <c r="BK72" s="137" t="e">
        <f t="shared" si="7"/>
        <v>#DIV/0!</v>
      </c>
      <c r="BL72" s="52">
        <f t="shared" si="8"/>
        <v>0</v>
      </c>
    </row>
    <row r="73" spans="1:67">
      <c r="A73" s="699"/>
      <c r="B73" s="23"/>
      <c r="C73" s="17" t="s">
        <v>29</v>
      </c>
      <c r="D73" s="57"/>
      <c r="E73" s="2"/>
      <c r="F73" s="2"/>
      <c r="G73" s="63"/>
      <c r="H73" s="2"/>
      <c r="I73" s="20"/>
      <c r="J73" s="21"/>
      <c r="K73" s="21"/>
      <c r="L73" s="22"/>
      <c r="M73" s="2"/>
      <c r="N73" s="23"/>
      <c r="O73" s="19"/>
      <c r="P73" s="19"/>
      <c r="Q73" s="19"/>
      <c r="R73" s="33"/>
      <c r="T73" s="57"/>
      <c r="U73" s="2"/>
      <c r="V73" s="2"/>
      <c r="W73" s="199"/>
      <c r="X73" s="198"/>
      <c r="Y73" s="198"/>
      <c r="Z73" s="198"/>
      <c r="AA73" s="274"/>
      <c r="AB73" s="21"/>
      <c r="AC73" s="21"/>
      <c r="AD73" s="21"/>
      <c r="AE73" s="21"/>
      <c r="AF73" s="70"/>
      <c r="AG73" s="20"/>
      <c r="AH73" s="21"/>
      <c r="AI73" s="21"/>
      <c r="AJ73" s="22"/>
      <c r="AK73" s="29"/>
      <c r="AL73" s="19"/>
      <c r="AM73" s="57"/>
      <c r="AN73" s="2"/>
      <c r="AO73" s="2"/>
      <c r="AP73" s="63"/>
      <c r="AQ73" s="68"/>
      <c r="AR73" s="21"/>
      <c r="AS73" s="21"/>
      <c r="AT73" s="21"/>
      <c r="AU73" s="240"/>
      <c r="AV73" s="19"/>
      <c r="AW73" s="195"/>
      <c r="AX73" s="2"/>
      <c r="AY73" s="238"/>
      <c r="BB73" s="19"/>
      <c r="BC73" s="24"/>
      <c r="BG73" s="147" t="s">
        <v>5</v>
      </c>
      <c r="BH73" s="52">
        <f>Q74/1000</f>
        <v>0</v>
      </c>
      <c r="BI73" s="52">
        <f>AJ74/1000</f>
        <v>0</v>
      </c>
      <c r="BJ73" s="52">
        <f>BB74/1000</f>
        <v>0</v>
      </c>
      <c r="BK73" s="137" t="e">
        <f t="shared" si="7"/>
        <v>#DIV/0!</v>
      </c>
      <c r="BL73" s="52">
        <f t="shared" si="8"/>
        <v>0</v>
      </c>
    </row>
    <row r="74" spans="1:67" s="106" customFormat="1">
      <c r="A74" s="699"/>
      <c r="B74" s="107" t="s">
        <v>67</v>
      </c>
      <c r="C74" s="108"/>
      <c r="D74" s="109"/>
      <c r="E74" s="110"/>
      <c r="F74" s="110"/>
      <c r="G74" s="111"/>
      <c r="H74" s="110"/>
      <c r="I74" s="112"/>
      <c r="J74" s="113"/>
      <c r="K74" s="113"/>
      <c r="L74" s="114"/>
      <c r="M74" s="110"/>
      <c r="N74" s="112"/>
      <c r="O74" s="113"/>
      <c r="P74" s="113"/>
      <c r="Q74" s="114"/>
      <c r="R74" s="115"/>
      <c r="T74" s="109"/>
      <c r="U74" s="110"/>
      <c r="V74" s="2"/>
      <c r="W74" s="203"/>
      <c r="X74" s="130"/>
      <c r="Y74" s="130"/>
      <c r="Z74" s="130"/>
      <c r="AA74" s="276"/>
      <c r="AB74" s="113"/>
      <c r="AC74" s="113"/>
      <c r="AD74" s="113"/>
      <c r="AE74" s="113"/>
      <c r="AF74" s="117"/>
      <c r="AG74" s="112"/>
      <c r="AH74" s="113"/>
      <c r="AI74" s="113"/>
      <c r="AJ74" s="114"/>
      <c r="AK74" s="118"/>
      <c r="AL74" s="119"/>
      <c r="AM74" s="109"/>
      <c r="AN74" s="110"/>
      <c r="AO74" s="110"/>
      <c r="AP74" s="111"/>
      <c r="AQ74" s="117"/>
      <c r="AR74" s="113"/>
      <c r="AS74" s="123"/>
      <c r="AT74" s="113"/>
      <c r="AU74" s="120"/>
      <c r="AV74" s="113"/>
      <c r="AW74" s="114"/>
      <c r="AX74" s="110"/>
      <c r="AY74" s="241"/>
      <c r="AZ74" s="242"/>
      <c r="BA74" s="242"/>
      <c r="BB74" s="114"/>
      <c r="BC74" s="118"/>
      <c r="BD74" s="122"/>
      <c r="BG74" s="147" t="s">
        <v>6</v>
      </c>
      <c r="BH74" s="52">
        <f>Q84/1000</f>
        <v>0</v>
      </c>
      <c r="BI74" s="52">
        <f>AJ84/1000</f>
        <v>0</v>
      </c>
      <c r="BJ74" s="52">
        <f>BB84/1000</f>
        <v>0</v>
      </c>
      <c r="BK74" s="137" t="e">
        <f t="shared" si="7"/>
        <v>#DIV/0!</v>
      </c>
      <c r="BL74" s="52">
        <f t="shared" si="8"/>
        <v>0</v>
      </c>
      <c r="BM74" s="6"/>
      <c r="BN74" s="6"/>
      <c r="BO74" s="6"/>
    </row>
    <row r="75" spans="1:67">
      <c r="A75" s="699"/>
      <c r="B75" s="23" t="s">
        <v>6</v>
      </c>
      <c r="C75" s="17" t="s">
        <v>30</v>
      </c>
      <c r="D75" s="57"/>
      <c r="E75" s="2"/>
      <c r="F75" s="2"/>
      <c r="G75" s="63"/>
      <c r="H75" s="2"/>
      <c r="I75" s="20"/>
      <c r="J75" s="21"/>
      <c r="K75" s="21"/>
      <c r="L75" s="22"/>
      <c r="M75" s="2"/>
      <c r="N75" s="23"/>
      <c r="O75" s="19"/>
      <c r="P75" s="19"/>
      <c r="Q75" s="19"/>
      <c r="R75" s="33"/>
      <c r="T75" s="57"/>
      <c r="U75" s="2"/>
      <c r="V75" s="2"/>
      <c r="W75" s="199"/>
      <c r="X75" s="198"/>
      <c r="Y75" s="198"/>
      <c r="Z75" s="198"/>
      <c r="AA75" s="274"/>
      <c r="AB75" s="21"/>
      <c r="AC75" s="21"/>
      <c r="AD75" s="21"/>
      <c r="AE75" s="21"/>
      <c r="AF75" s="70"/>
      <c r="AG75" s="20"/>
      <c r="AH75" s="21"/>
      <c r="AI75" s="21"/>
      <c r="AJ75" s="22"/>
      <c r="AK75" s="29"/>
      <c r="AL75" s="19"/>
      <c r="AM75" s="57"/>
      <c r="AN75" s="2"/>
      <c r="AO75" s="2"/>
      <c r="AP75" s="63"/>
      <c r="AQ75" s="68"/>
      <c r="AR75" s="21"/>
      <c r="AS75" s="21"/>
      <c r="AT75" s="21"/>
      <c r="AU75" s="240"/>
      <c r="AV75" s="19"/>
      <c r="AW75" s="195"/>
      <c r="AX75" s="2"/>
      <c r="AY75" s="238"/>
      <c r="BB75" s="19"/>
      <c r="BC75" s="24"/>
      <c r="BG75" s="147" t="s">
        <v>8</v>
      </c>
      <c r="BH75" s="52">
        <f>Q85/1000</f>
        <v>0</v>
      </c>
      <c r="BI75" s="52">
        <f>AJ85/1000</f>
        <v>0</v>
      </c>
      <c r="BJ75" s="52">
        <f>BB85/1000</f>
        <v>0</v>
      </c>
      <c r="BK75" s="137" t="e">
        <f t="shared" si="7"/>
        <v>#DIV/0!</v>
      </c>
      <c r="BL75" s="52">
        <f t="shared" si="8"/>
        <v>0</v>
      </c>
    </row>
    <row r="76" spans="1:67">
      <c r="A76" s="699"/>
      <c r="B76" s="23"/>
      <c r="C76" s="17" t="s">
        <v>31</v>
      </c>
      <c r="D76" s="57"/>
      <c r="E76" s="2"/>
      <c r="F76" s="2"/>
      <c r="G76" s="63"/>
      <c r="H76" s="2"/>
      <c r="I76" s="20"/>
      <c r="J76" s="21"/>
      <c r="K76" s="21"/>
      <c r="L76" s="22"/>
      <c r="M76" s="2"/>
      <c r="N76" s="23"/>
      <c r="O76" s="19"/>
      <c r="P76" s="19"/>
      <c r="Q76" s="19"/>
      <c r="R76" s="33"/>
      <c r="T76" s="57"/>
      <c r="U76" s="2"/>
      <c r="V76" s="2"/>
      <c r="W76" s="199"/>
      <c r="X76" s="198"/>
      <c r="Y76" s="198"/>
      <c r="Z76" s="198"/>
      <c r="AA76" s="274"/>
      <c r="AB76" s="21"/>
      <c r="AC76" s="21"/>
      <c r="AD76" s="21"/>
      <c r="AE76" s="21"/>
      <c r="AF76" s="70"/>
      <c r="AG76" s="20"/>
      <c r="AH76" s="21"/>
      <c r="AI76" s="21"/>
      <c r="AJ76" s="22"/>
      <c r="AK76" s="29"/>
      <c r="AL76" s="19"/>
      <c r="AM76" s="57"/>
      <c r="AN76" s="2"/>
      <c r="AO76" s="2"/>
      <c r="AP76" s="63"/>
      <c r="AQ76" s="68"/>
      <c r="AR76" s="21"/>
      <c r="AS76" s="21"/>
      <c r="AT76" s="21"/>
      <c r="AU76" s="240"/>
      <c r="AV76" s="19"/>
      <c r="AW76" s="195"/>
      <c r="AX76" s="2"/>
      <c r="AY76" s="238"/>
      <c r="BB76" s="19"/>
      <c r="BC76" s="24"/>
      <c r="BG76" s="147" t="s">
        <v>7</v>
      </c>
      <c r="BH76" s="52">
        <f>Q88/1000</f>
        <v>0</v>
      </c>
      <c r="BI76" s="52">
        <f>AJ88/1000</f>
        <v>0</v>
      </c>
      <c r="BJ76" s="52">
        <f>BB88/1000</f>
        <v>0</v>
      </c>
      <c r="BK76" s="137" t="e">
        <f t="shared" si="7"/>
        <v>#DIV/0!</v>
      </c>
      <c r="BL76" s="52">
        <f t="shared" si="8"/>
        <v>0</v>
      </c>
    </row>
    <row r="77" spans="1:67">
      <c r="A77" s="699"/>
      <c r="B77" s="23"/>
      <c r="C77" s="17" t="s">
        <v>32</v>
      </c>
      <c r="D77" s="57"/>
      <c r="E77" s="2"/>
      <c r="F77" s="2"/>
      <c r="G77" s="63"/>
      <c r="H77" s="2"/>
      <c r="I77" s="20"/>
      <c r="J77" s="21"/>
      <c r="K77" s="21"/>
      <c r="L77" s="22"/>
      <c r="M77" s="2"/>
      <c r="N77" s="23"/>
      <c r="O77" s="19"/>
      <c r="P77" s="19"/>
      <c r="Q77" s="19"/>
      <c r="R77" s="33"/>
      <c r="T77" s="57"/>
      <c r="U77" s="2"/>
      <c r="V77" s="2"/>
      <c r="W77" s="199"/>
      <c r="X77" s="198"/>
      <c r="Y77" s="198"/>
      <c r="Z77" s="198"/>
      <c r="AA77" s="274"/>
      <c r="AB77" s="21"/>
      <c r="AC77" s="21"/>
      <c r="AD77" s="21"/>
      <c r="AE77" s="21"/>
      <c r="AF77" s="70"/>
      <c r="AG77" s="20"/>
      <c r="AH77" s="21"/>
      <c r="AI77" s="21"/>
      <c r="AJ77" s="22"/>
      <c r="AK77" s="29"/>
      <c r="AL77" s="19"/>
      <c r="AM77" s="57"/>
      <c r="AN77" s="2"/>
      <c r="AO77" s="2"/>
      <c r="AP77" s="63"/>
      <c r="AQ77" s="68"/>
      <c r="AR77" s="21"/>
      <c r="AS77" s="21"/>
      <c r="AT77" s="21"/>
      <c r="AU77" s="240"/>
      <c r="AV77" s="19"/>
      <c r="AW77" s="195"/>
      <c r="AX77" s="2"/>
      <c r="AY77" s="238"/>
      <c r="BB77" s="19"/>
      <c r="BC77" s="24"/>
      <c r="BG77" s="147" t="s">
        <v>11</v>
      </c>
      <c r="BH77" s="52">
        <f>Q93/1000</f>
        <v>0</v>
      </c>
      <c r="BI77" s="52">
        <f>AJ93/1000</f>
        <v>0</v>
      </c>
      <c r="BJ77" s="52">
        <f>BB93/1000</f>
        <v>0</v>
      </c>
      <c r="BK77" s="137" t="e">
        <f t="shared" si="7"/>
        <v>#DIV/0!</v>
      </c>
      <c r="BL77" s="52">
        <f t="shared" si="8"/>
        <v>0</v>
      </c>
    </row>
    <row r="78" spans="1:67" s="90" customFormat="1">
      <c r="A78" s="699"/>
      <c r="B78" s="91" t="s">
        <v>42</v>
      </c>
      <c r="C78" s="92"/>
      <c r="D78" s="93"/>
      <c r="E78" s="94"/>
      <c r="F78" s="94"/>
      <c r="G78" s="95"/>
      <c r="H78" s="94"/>
      <c r="I78" s="96"/>
      <c r="J78" s="97"/>
      <c r="K78" s="97"/>
      <c r="L78" s="98"/>
      <c r="M78" s="94"/>
      <c r="N78" s="96"/>
      <c r="O78" s="97"/>
      <c r="P78" s="97"/>
      <c r="Q78" s="97"/>
      <c r="R78" s="99"/>
      <c r="T78" s="93"/>
      <c r="U78" s="94"/>
      <c r="V78" s="2"/>
      <c r="W78" s="211"/>
      <c r="X78" s="289"/>
      <c r="Y78" s="289"/>
      <c r="Z78" s="289"/>
      <c r="AA78" s="280"/>
      <c r="AB78" s="97"/>
      <c r="AC78" s="97"/>
      <c r="AD78" s="97"/>
      <c r="AE78" s="97"/>
      <c r="AF78" s="101"/>
      <c r="AG78" s="96"/>
      <c r="AH78" s="97"/>
      <c r="AI78" s="97"/>
      <c r="AJ78" s="98"/>
      <c r="AK78" s="102"/>
      <c r="AL78" s="103"/>
      <c r="AM78" s="93"/>
      <c r="AN78" s="94"/>
      <c r="AO78" s="94"/>
      <c r="AP78" s="95"/>
      <c r="AQ78" s="100"/>
      <c r="AR78" s="97"/>
      <c r="AS78" s="128"/>
      <c r="AT78" s="128"/>
      <c r="AU78" s="104"/>
      <c r="AV78" s="97"/>
      <c r="AW78" s="98"/>
      <c r="AX78" s="94"/>
      <c r="AY78" s="239"/>
      <c r="BB78" s="97"/>
      <c r="BC78" s="105"/>
      <c r="BG78" s="147" t="s">
        <v>1</v>
      </c>
      <c r="BH78" s="52">
        <f>Q94/1000</f>
        <v>0</v>
      </c>
      <c r="BI78" s="52">
        <f>AJ94/1000</f>
        <v>0</v>
      </c>
      <c r="BJ78" s="52">
        <f>BB94/1000</f>
        <v>0</v>
      </c>
      <c r="BK78" s="137" t="e">
        <f t="shared" si="7"/>
        <v>#DIV/0!</v>
      </c>
      <c r="BL78" s="52">
        <f t="shared" si="8"/>
        <v>0</v>
      </c>
      <c r="BM78" s="6"/>
      <c r="BN78" s="6"/>
      <c r="BO78" s="6"/>
    </row>
    <row r="79" spans="1:67">
      <c r="A79" s="699"/>
      <c r="B79" s="23"/>
      <c r="C79" s="17" t="s">
        <v>33</v>
      </c>
      <c r="D79" s="57"/>
      <c r="E79" s="2"/>
      <c r="F79" s="2"/>
      <c r="G79" s="63"/>
      <c r="H79" s="2"/>
      <c r="I79" s="20"/>
      <c r="J79" s="21"/>
      <c r="K79" s="21"/>
      <c r="L79" s="22"/>
      <c r="M79" s="2"/>
      <c r="N79" s="23"/>
      <c r="O79" s="19"/>
      <c r="P79" s="19"/>
      <c r="Q79" s="19"/>
      <c r="R79" s="33"/>
      <c r="T79" s="57"/>
      <c r="U79" s="2"/>
      <c r="V79" s="2"/>
      <c r="W79" s="199"/>
      <c r="X79" s="198"/>
      <c r="Y79" s="198"/>
      <c r="Z79" s="198"/>
      <c r="AA79" s="274"/>
      <c r="AB79" s="21"/>
      <c r="AC79" s="21"/>
      <c r="AD79" s="21"/>
      <c r="AE79" s="21"/>
      <c r="AF79" s="70"/>
      <c r="AG79" s="20"/>
      <c r="AH79" s="21"/>
      <c r="AI79" s="21"/>
      <c r="AJ79" s="22"/>
      <c r="AK79" s="29"/>
      <c r="AL79" s="19"/>
      <c r="AM79" s="57"/>
      <c r="AN79" s="2"/>
      <c r="AO79" s="2"/>
      <c r="AP79" s="63"/>
      <c r="AQ79" s="68"/>
      <c r="AR79" s="21"/>
      <c r="AS79" s="21"/>
      <c r="AT79" s="21"/>
      <c r="AU79" s="240"/>
      <c r="AV79" s="19"/>
      <c r="AW79" s="195"/>
      <c r="AX79" s="2"/>
      <c r="AY79" s="238"/>
      <c r="BB79" s="19"/>
      <c r="BC79" s="24"/>
      <c r="BG79" s="142"/>
    </row>
    <row r="80" spans="1:67">
      <c r="A80" s="699"/>
      <c r="B80" s="23"/>
      <c r="C80" s="17" t="s">
        <v>34</v>
      </c>
      <c r="D80" s="57"/>
      <c r="E80" s="2"/>
      <c r="F80" s="2"/>
      <c r="G80" s="63"/>
      <c r="H80" s="2"/>
      <c r="I80" s="20"/>
      <c r="J80" s="21"/>
      <c r="K80" s="21"/>
      <c r="L80" s="22"/>
      <c r="M80" s="2"/>
      <c r="N80" s="23"/>
      <c r="O80" s="19"/>
      <c r="P80" s="19"/>
      <c r="Q80" s="19"/>
      <c r="R80" s="33"/>
      <c r="T80" s="57"/>
      <c r="U80" s="2"/>
      <c r="V80" s="2"/>
      <c r="W80" s="199"/>
      <c r="X80" s="198"/>
      <c r="Y80" s="198"/>
      <c r="Z80" s="198"/>
      <c r="AA80" s="274"/>
      <c r="AB80" s="21"/>
      <c r="AC80" s="21"/>
      <c r="AD80" s="21"/>
      <c r="AE80" s="21"/>
      <c r="AF80" s="70"/>
      <c r="AG80" s="20"/>
      <c r="AH80" s="21"/>
      <c r="AI80" s="21"/>
      <c r="AJ80" s="22"/>
      <c r="AK80" s="29"/>
      <c r="AL80" s="19"/>
      <c r="AM80" s="57"/>
      <c r="AN80" s="2"/>
      <c r="AO80" s="2"/>
      <c r="AP80" s="63"/>
      <c r="AQ80" s="68"/>
      <c r="AR80" s="21"/>
      <c r="AS80" s="21"/>
      <c r="AT80" s="21"/>
      <c r="AU80" s="240"/>
      <c r="AV80" s="19"/>
      <c r="AW80" s="195"/>
      <c r="AX80" s="2"/>
      <c r="AY80" s="238"/>
      <c r="BB80" s="19"/>
      <c r="BC80" s="24"/>
    </row>
    <row r="81" spans="1:59">
      <c r="A81" s="699"/>
      <c r="B81" s="23"/>
      <c r="C81" s="17" t="s">
        <v>35</v>
      </c>
      <c r="D81" s="57"/>
      <c r="E81" s="2"/>
      <c r="F81" s="2"/>
      <c r="G81" s="63"/>
      <c r="H81" s="2"/>
      <c r="I81" s="20"/>
      <c r="J81" s="21"/>
      <c r="K81" s="21"/>
      <c r="L81" s="22"/>
      <c r="M81" s="2"/>
      <c r="N81" s="23"/>
      <c r="O81" s="19"/>
      <c r="P81" s="19"/>
      <c r="Q81" s="19"/>
      <c r="R81" s="33"/>
      <c r="T81" s="57"/>
      <c r="U81" s="2"/>
      <c r="V81" s="2"/>
      <c r="W81" s="199"/>
      <c r="X81" s="198"/>
      <c r="Y81" s="198"/>
      <c r="Z81" s="198"/>
      <c r="AA81" s="274"/>
      <c r="AB81" s="21"/>
      <c r="AC81" s="21"/>
      <c r="AD81" s="21"/>
      <c r="AE81" s="21"/>
      <c r="AF81" s="70"/>
      <c r="AG81" s="20"/>
      <c r="AH81" s="21"/>
      <c r="AI81" s="21"/>
      <c r="AJ81" s="22"/>
      <c r="AK81" s="29"/>
      <c r="AL81" s="19"/>
      <c r="AM81" s="57"/>
      <c r="AN81" s="2"/>
      <c r="AO81" s="2"/>
      <c r="AP81" s="63"/>
      <c r="AQ81" s="68"/>
      <c r="AR81" s="21"/>
      <c r="AS81" s="21"/>
      <c r="AT81" s="21"/>
      <c r="AU81" s="240"/>
      <c r="AV81" s="19"/>
      <c r="AW81" s="195"/>
      <c r="AX81" s="2"/>
      <c r="AY81" s="238"/>
      <c r="BB81" s="19"/>
      <c r="BC81" s="24"/>
    </row>
    <row r="82" spans="1:59">
      <c r="A82" s="699"/>
      <c r="B82" s="23"/>
      <c r="C82" s="17" t="s">
        <v>36</v>
      </c>
      <c r="D82" s="57"/>
      <c r="E82" s="2"/>
      <c r="F82" s="2"/>
      <c r="G82" s="63"/>
      <c r="H82" s="2"/>
      <c r="I82" s="20"/>
      <c r="J82" s="21"/>
      <c r="K82" s="21"/>
      <c r="L82" s="22"/>
      <c r="M82" s="2"/>
      <c r="N82" s="23"/>
      <c r="O82" s="19"/>
      <c r="P82" s="19"/>
      <c r="Q82" s="19"/>
      <c r="R82" s="33"/>
      <c r="T82" s="57"/>
      <c r="U82" s="2"/>
      <c r="V82" s="2"/>
      <c r="W82" s="199"/>
      <c r="X82" s="198"/>
      <c r="Y82" s="198"/>
      <c r="Z82" s="198"/>
      <c r="AA82" s="274"/>
      <c r="AB82" s="21"/>
      <c r="AC82" s="21"/>
      <c r="AD82" s="21"/>
      <c r="AE82" s="21"/>
      <c r="AF82" s="70"/>
      <c r="AG82" s="20"/>
      <c r="AH82" s="21"/>
      <c r="AI82" s="21"/>
      <c r="AJ82" s="22"/>
      <c r="AK82" s="29"/>
      <c r="AL82" s="19"/>
      <c r="AM82" s="57"/>
      <c r="AN82" s="2"/>
      <c r="AO82" s="2"/>
      <c r="AP82" s="63"/>
      <c r="AQ82" s="68"/>
      <c r="AR82" s="21"/>
      <c r="AS82" s="21"/>
      <c r="AT82" s="21"/>
      <c r="AU82" s="240"/>
      <c r="AV82" s="19"/>
      <c r="AW82" s="195"/>
      <c r="AX82" s="2"/>
      <c r="AY82" s="238"/>
      <c r="BB82" s="19"/>
      <c r="BC82" s="24"/>
    </row>
    <row r="83" spans="1:59" s="90" customFormat="1">
      <c r="A83" s="699"/>
      <c r="B83" s="91" t="s">
        <v>43</v>
      </c>
      <c r="C83" s="92"/>
      <c r="D83" s="93"/>
      <c r="E83" s="94"/>
      <c r="F83" s="94"/>
      <c r="G83" s="95"/>
      <c r="H83" s="94"/>
      <c r="I83" s="96"/>
      <c r="J83" s="97"/>
      <c r="K83" s="97"/>
      <c r="L83" s="98"/>
      <c r="M83" s="94"/>
      <c r="N83" s="96"/>
      <c r="O83" s="97"/>
      <c r="P83" s="97"/>
      <c r="Q83" s="97"/>
      <c r="R83" s="99"/>
      <c r="T83" s="93"/>
      <c r="U83" s="94"/>
      <c r="V83" s="2"/>
      <c r="W83" s="211"/>
      <c r="X83" s="289"/>
      <c r="Y83" s="289"/>
      <c r="Z83" s="289"/>
      <c r="AA83" s="280"/>
      <c r="AB83" s="97"/>
      <c r="AC83" s="97"/>
      <c r="AD83" s="97"/>
      <c r="AE83" s="97"/>
      <c r="AF83" s="101"/>
      <c r="AG83" s="96"/>
      <c r="AH83" s="97"/>
      <c r="AI83" s="97"/>
      <c r="AJ83" s="98"/>
      <c r="AK83" s="102"/>
      <c r="AL83" s="103"/>
      <c r="AM83" s="93"/>
      <c r="AN83" s="94"/>
      <c r="AO83" s="94"/>
      <c r="AP83" s="95"/>
      <c r="AQ83" s="100"/>
      <c r="AR83" s="97"/>
      <c r="AS83" s="97"/>
      <c r="AT83" s="97"/>
      <c r="AU83" s="104"/>
      <c r="AV83" s="97"/>
      <c r="AW83" s="98"/>
      <c r="AX83" s="94"/>
      <c r="AY83" s="239"/>
      <c r="BB83" s="97"/>
      <c r="BC83" s="105"/>
      <c r="BG83" s="143"/>
    </row>
    <row r="84" spans="1:59" s="106" customFormat="1">
      <c r="A84" s="699"/>
      <c r="B84" s="107" t="s">
        <v>67</v>
      </c>
      <c r="C84" s="108"/>
      <c r="D84" s="109"/>
      <c r="E84" s="110"/>
      <c r="F84" s="110"/>
      <c r="G84" s="111"/>
      <c r="H84" s="110"/>
      <c r="I84" s="112"/>
      <c r="J84" s="113"/>
      <c r="K84" s="113"/>
      <c r="L84" s="114"/>
      <c r="M84" s="110"/>
      <c r="N84" s="112"/>
      <c r="O84" s="113"/>
      <c r="P84" s="113"/>
      <c r="Q84" s="114"/>
      <c r="R84" s="115"/>
      <c r="T84" s="202"/>
      <c r="U84" s="130"/>
      <c r="V84" s="2"/>
      <c r="W84" s="203"/>
      <c r="X84" s="130"/>
      <c r="Y84" s="130"/>
      <c r="Z84" s="130"/>
      <c r="AA84" s="276"/>
      <c r="AB84" s="113"/>
      <c r="AC84" s="113"/>
      <c r="AD84" s="113"/>
      <c r="AE84" s="113"/>
      <c r="AF84" s="117"/>
      <c r="AG84" s="112"/>
      <c r="AH84" s="113"/>
      <c r="AI84" s="113"/>
      <c r="AJ84" s="114"/>
      <c r="AK84" s="115"/>
      <c r="AL84" s="119"/>
      <c r="AM84" s="109"/>
      <c r="AN84" s="110"/>
      <c r="AO84" s="110"/>
      <c r="AP84" s="111"/>
      <c r="AQ84" s="116"/>
      <c r="AR84" s="113"/>
      <c r="AS84" s="113"/>
      <c r="AT84" s="113"/>
      <c r="AU84" s="120"/>
      <c r="AV84" s="113"/>
      <c r="AW84" s="114"/>
      <c r="AX84" s="110"/>
      <c r="AY84" s="237"/>
      <c r="BB84" s="113"/>
      <c r="BC84" s="118"/>
      <c r="BG84" s="144"/>
    </row>
    <row r="85" spans="1:59" s="106" customFormat="1">
      <c r="A85" s="699"/>
      <c r="B85" s="37" t="s">
        <v>8</v>
      </c>
      <c r="C85" s="129" t="s">
        <v>8</v>
      </c>
      <c r="D85" s="109"/>
      <c r="E85" s="110"/>
      <c r="F85" s="110"/>
      <c r="G85" s="111"/>
      <c r="H85" s="110"/>
      <c r="I85" s="112"/>
      <c r="J85" s="113"/>
      <c r="K85" s="113"/>
      <c r="L85" s="114"/>
      <c r="M85" s="110"/>
      <c r="N85" s="112"/>
      <c r="O85" s="113"/>
      <c r="P85" s="113"/>
      <c r="Q85" s="114"/>
      <c r="R85" s="115"/>
      <c r="T85" s="109"/>
      <c r="U85" s="110"/>
      <c r="V85" s="2"/>
      <c r="W85" s="199"/>
      <c r="X85" s="198"/>
      <c r="Y85" s="198"/>
      <c r="Z85" s="198"/>
      <c r="AA85" s="276"/>
      <c r="AB85" s="113"/>
      <c r="AC85" s="113"/>
      <c r="AD85" s="113"/>
      <c r="AE85" s="113"/>
      <c r="AF85" s="117"/>
      <c r="AG85" s="112"/>
      <c r="AH85" s="113"/>
      <c r="AI85" s="113"/>
      <c r="AJ85" s="114"/>
      <c r="AK85" s="118"/>
      <c r="AL85" s="119"/>
      <c r="AM85" s="109"/>
      <c r="AN85" s="110"/>
      <c r="AO85" s="110"/>
      <c r="AP85" s="111"/>
      <c r="AQ85" s="116"/>
      <c r="AR85" s="113"/>
      <c r="AS85" s="113"/>
      <c r="AT85" s="113"/>
      <c r="AU85" s="120"/>
      <c r="AV85" s="113"/>
      <c r="AW85" s="114"/>
      <c r="AX85" s="110"/>
      <c r="AY85" s="237"/>
      <c r="BB85" s="113"/>
      <c r="BC85" s="121"/>
      <c r="BG85" s="144"/>
    </row>
    <row r="86" spans="1:59">
      <c r="A86" s="699"/>
      <c r="B86" s="23" t="s">
        <v>7</v>
      </c>
      <c r="C86" s="17" t="s">
        <v>9</v>
      </c>
      <c r="D86" s="57"/>
      <c r="E86" s="2"/>
      <c r="F86" s="2"/>
      <c r="G86" s="63"/>
      <c r="H86" s="2"/>
      <c r="I86" s="20"/>
      <c r="J86" s="21"/>
      <c r="K86" s="21"/>
      <c r="L86" s="22"/>
      <c r="M86" s="2"/>
      <c r="N86" s="20"/>
      <c r="O86" s="21"/>
      <c r="P86" s="21"/>
      <c r="Q86" s="22"/>
      <c r="R86" s="34"/>
      <c r="T86" s="57"/>
      <c r="U86" s="2"/>
      <c r="V86" s="2"/>
      <c r="W86" s="199"/>
      <c r="X86" s="198"/>
      <c r="Y86" s="198"/>
      <c r="Z86" s="198"/>
      <c r="AA86" s="274"/>
      <c r="AB86" s="21"/>
      <c r="AC86" s="21"/>
      <c r="AD86" s="21"/>
      <c r="AE86" s="21"/>
      <c r="AF86" s="70"/>
      <c r="AG86" s="20"/>
      <c r="AH86" s="21"/>
      <c r="AI86" s="21"/>
      <c r="AJ86" s="22"/>
      <c r="AK86" s="29"/>
      <c r="AL86" s="19"/>
      <c r="AM86" s="57"/>
      <c r="AN86" s="2"/>
      <c r="AO86" s="2"/>
      <c r="AP86" s="63"/>
      <c r="AQ86" s="68"/>
      <c r="AR86" s="21"/>
      <c r="AS86" s="35"/>
      <c r="AT86" s="21"/>
      <c r="AU86" s="25"/>
      <c r="AV86" s="21"/>
      <c r="AW86" s="22"/>
      <c r="AX86" s="2"/>
      <c r="AY86" s="238"/>
      <c r="BB86" s="21"/>
      <c r="BC86" s="29"/>
    </row>
    <row r="87" spans="1:59">
      <c r="A87" s="699"/>
      <c r="B87" s="23"/>
      <c r="C87" s="17" t="s">
        <v>10</v>
      </c>
      <c r="D87" s="57"/>
      <c r="E87" s="2"/>
      <c r="F87" s="2"/>
      <c r="G87" s="63"/>
      <c r="H87" s="2"/>
      <c r="I87" s="20"/>
      <c r="J87" s="21"/>
      <c r="K87" s="21"/>
      <c r="L87" s="22"/>
      <c r="M87" s="2"/>
      <c r="N87" s="20"/>
      <c r="O87" s="21"/>
      <c r="P87" s="21"/>
      <c r="Q87" s="22"/>
      <c r="R87" s="33"/>
      <c r="T87" s="57"/>
      <c r="U87" s="2"/>
      <c r="V87" s="2"/>
      <c r="W87" s="199"/>
      <c r="X87" s="198"/>
      <c r="Y87" s="198"/>
      <c r="Z87" s="198"/>
      <c r="AA87" s="274"/>
      <c r="AB87" s="21"/>
      <c r="AC87" s="21"/>
      <c r="AD87" s="21"/>
      <c r="AE87" s="21"/>
      <c r="AF87" s="70"/>
      <c r="AG87" s="20"/>
      <c r="AH87" s="21"/>
      <c r="AI87" s="21"/>
      <c r="AJ87" s="22"/>
      <c r="AK87" s="29"/>
      <c r="AL87" s="19"/>
      <c r="AM87" s="57"/>
      <c r="AN87" s="2"/>
      <c r="AO87" s="2"/>
      <c r="AP87" s="63"/>
      <c r="AQ87" s="68"/>
      <c r="AR87" s="21"/>
      <c r="AS87" s="21"/>
      <c r="AT87" s="21"/>
      <c r="AU87" s="240"/>
      <c r="AV87" s="21"/>
      <c r="AW87" s="195"/>
      <c r="AX87" s="2"/>
      <c r="AY87" s="238"/>
      <c r="BB87" s="21"/>
      <c r="BC87" s="29"/>
    </row>
    <row r="88" spans="1:59" s="106" customFormat="1">
      <c r="A88" s="699"/>
      <c r="B88" s="107" t="s">
        <v>67</v>
      </c>
      <c r="C88" s="108"/>
      <c r="D88" s="109"/>
      <c r="E88" s="110"/>
      <c r="F88" s="110"/>
      <c r="G88" s="111"/>
      <c r="H88" s="110"/>
      <c r="I88" s="112"/>
      <c r="J88" s="113"/>
      <c r="K88" s="113"/>
      <c r="L88" s="114"/>
      <c r="M88" s="110"/>
      <c r="N88" s="112"/>
      <c r="O88" s="113"/>
      <c r="P88" s="113"/>
      <c r="Q88" s="114"/>
      <c r="R88" s="115"/>
      <c r="T88" s="109"/>
      <c r="U88" s="110"/>
      <c r="V88" s="110"/>
      <c r="W88" s="203"/>
      <c r="X88" s="130"/>
      <c r="Y88" s="130"/>
      <c r="Z88" s="130"/>
      <c r="AA88" s="276"/>
      <c r="AB88" s="113"/>
      <c r="AC88" s="113"/>
      <c r="AD88" s="113"/>
      <c r="AE88" s="113"/>
      <c r="AF88" s="117"/>
      <c r="AG88" s="112"/>
      <c r="AH88" s="113"/>
      <c r="AI88" s="113"/>
      <c r="AJ88" s="114"/>
      <c r="AK88" s="118"/>
      <c r="AL88" s="119"/>
      <c r="AM88" s="109"/>
      <c r="AN88" s="110"/>
      <c r="AO88" s="110"/>
      <c r="AP88" s="111"/>
      <c r="AQ88" s="116"/>
      <c r="AR88" s="113"/>
      <c r="AS88" s="113"/>
      <c r="AT88" s="113"/>
      <c r="AU88" s="120"/>
      <c r="AV88" s="113"/>
      <c r="AW88" s="114"/>
      <c r="AX88" s="110"/>
      <c r="AY88" s="241"/>
      <c r="AZ88" s="242"/>
      <c r="BA88" s="242"/>
      <c r="BB88" s="114"/>
      <c r="BC88" s="118"/>
      <c r="BD88" s="122"/>
      <c r="BG88" s="144"/>
    </row>
    <row r="89" spans="1:59">
      <c r="A89" s="699"/>
      <c r="B89" s="23" t="s">
        <v>11</v>
      </c>
      <c r="C89" s="17" t="s">
        <v>12</v>
      </c>
      <c r="D89" s="57"/>
      <c r="E89" s="2"/>
      <c r="F89" s="2"/>
      <c r="G89" s="63"/>
      <c r="H89" s="2"/>
      <c r="I89" s="20"/>
      <c r="J89" s="21"/>
      <c r="K89" s="21"/>
      <c r="L89" s="22"/>
      <c r="M89" s="2"/>
      <c r="N89" s="20"/>
      <c r="O89" s="21"/>
      <c r="P89" s="21"/>
      <c r="Q89" s="22"/>
      <c r="R89" s="33"/>
      <c r="T89" s="57"/>
      <c r="U89" s="2"/>
      <c r="V89" s="2"/>
      <c r="W89" s="199"/>
      <c r="X89" s="198"/>
      <c r="Y89" s="198"/>
      <c r="Z89" s="198"/>
      <c r="AA89" s="274"/>
      <c r="AB89" s="21"/>
      <c r="AC89" s="21"/>
      <c r="AD89" s="21"/>
      <c r="AE89" s="21"/>
      <c r="AF89" s="70"/>
      <c r="AG89" s="20"/>
      <c r="AH89" s="21"/>
      <c r="AI89" s="21"/>
      <c r="AJ89" s="22"/>
      <c r="AK89" s="29"/>
      <c r="AL89" s="19"/>
      <c r="AM89" s="57"/>
      <c r="AN89" s="2"/>
      <c r="AO89" s="2"/>
      <c r="AP89" s="63"/>
      <c r="AQ89" s="68"/>
      <c r="AR89" s="21"/>
      <c r="AS89" s="21"/>
      <c r="AT89" s="21"/>
      <c r="AU89" s="25"/>
      <c r="AV89" s="21"/>
      <c r="AW89" s="22"/>
      <c r="AX89" s="2"/>
      <c r="AY89" s="23"/>
      <c r="AZ89" s="19"/>
      <c r="BA89" s="19"/>
      <c r="BB89" s="19"/>
      <c r="BC89" s="24"/>
    </row>
    <row r="90" spans="1:59">
      <c r="A90" s="699"/>
      <c r="B90" s="23"/>
      <c r="C90" s="17" t="s">
        <v>13</v>
      </c>
      <c r="D90" s="57"/>
      <c r="E90" s="2"/>
      <c r="F90" s="2"/>
      <c r="G90" s="156"/>
      <c r="H90" s="3"/>
      <c r="I90" s="20"/>
      <c r="J90" s="21"/>
      <c r="K90" s="21"/>
      <c r="L90" s="22"/>
      <c r="M90" s="83"/>
      <c r="N90" s="20"/>
      <c r="O90" s="21"/>
      <c r="P90" s="21"/>
      <c r="Q90" s="22"/>
      <c r="R90" s="34"/>
      <c r="T90" s="57"/>
      <c r="U90" s="2"/>
      <c r="V90" s="2"/>
      <c r="W90" s="199"/>
      <c r="X90" s="198"/>
      <c r="Y90" s="198"/>
      <c r="Z90" s="198"/>
      <c r="AA90" s="282"/>
      <c r="AB90" s="21"/>
      <c r="AC90" s="21"/>
      <c r="AD90" s="21"/>
      <c r="AE90" s="21"/>
      <c r="AF90" s="70"/>
      <c r="AG90" s="20"/>
      <c r="AH90" s="21"/>
      <c r="AI90" s="21"/>
      <c r="AJ90" s="22"/>
      <c r="AK90" s="29"/>
      <c r="AL90" s="19"/>
      <c r="AM90" s="57"/>
      <c r="AN90" s="2"/>
      <c r="AO90" s="2"/>
      <c r="AP90" s="64"/>
      <c r="AQ90" s="69"/>
      <c r="AR90" s="21"/>
      <c r="AS90" s="21"/>
      <c r="AT90" s="21"/>
      <c r="AU90" s="25"/>
      <c r="AV90" s="21"/>
      <c r="AW90" s="22"/>
      <c r="AX90" s="2"/>
      <c r="AY90" s="20"/>
      <c r="AZ90" s="21"/>
      <c r="BA90" s="21"/>
      <c r="BB90" s="21"/>
      <c r="BC90" s="24"/>
    </row>
    <row r="91" spans="1:59">
      <c r="A91" s="699"/>
      <c r="B91" s="23"/>
      <c r="C91" s="17" t="s">
        <v>14</v>
      </c>
      <c r="D91" s="57"/>
      <c r="E91" s="2"/>
      <c r="F91" s="2"/>
      <c r="G91" s="156"/>
      <c r="H91" s="3"/>
      <c r="I91" s="20"/>
      <c r="J91" s="21"/>
      <c r="K91" s="21"/>
      <c r="L91" s="22"/>
      <c r="M91" s="83"/>
      <c r="N91" s="20"/>
      <c r="O91" s="21"/>
      <c r="P91" s="21"/>
      <c r="Q91" s="22"/>
      <c r="R91" s="34"/>
      <c r="T91" s="57"/>
      <c r="U91" s="2"/>
      <c r="V91" s="2"/>
      <c r="W91" s="199"/>
      <c r="X91" s="198"/>
      <c r="Y91" s="198"/>
      <c r="Z91" s="198"/>
      <c r="AA91" s="282"/>
      <c r="AB91" s="21"/>
      <c r="AC91" s="21"/>
      <c r="AD91" s="21"/>
      <c r="AE91" s="21"/>
      <c r="AF91" s="70"/>
      <c r="AG91" s="20"/>
      <c r="AH91" s="21"/>
      <c r="AI91" s="21"/>
      <c r="AJ91" s="22"/>
      <c r="AK91" s="29"/>
      <c r="AL91" s="19"/>
      <c r="AM91" s="57"/>
      <c r="AN91" s="2"/>
      <c r="AO91" s="2"/>
      <c r="AP91" s="64"/>
      <c r="AQ91" s="69"/>
      <c r="AR91" s="21"/>
      <c r="AS91" s="21"/>
      <c r="AT91" s="21"/>
      <c r="AU91" s="25"/>
      <c r="AV91" s="21"/>
      <c r="AW91" s="22"/>
      <c r="AX91" s="2"/>
      <c r="AY91" s="23"/>
      <c r="AZ91" s="19"/>
      <c r="BA91" s="19"/>
      <c r="BB91" s="21"/>
      <c r="BC91" s="24"/>
    </row>
    <row r="92" spans="1:59">
      <c r="A92" s="699"/>
      <c r="B92" s="23"/>
      <c r="C92" s="17" t="s">
        <v>15</v>
      </c>
      <c r="D92" s="57"/>
      <c r="E92" s="2"/>
      <c r="F92" s="2"/>
      <c r="G92" s="156"/>
      <c r="H92" s="3"/>
      <c r="I92" s="20"/>
      <c r="J92" s="21"/>
      <c r="K92" s="21"/>
      <c r="L92" s="22"/>
      <c r="M92" s="83"/>
      <c r="N92" s="20"/>
      <c r="O92" s="21"/>
      <c r="P92" s="21"/>
      <c r="Q92" s="22"/>
      <c r="R92" s="34"/>
      <c r="T92" s="57"/>
      <c r="U92" s="2"/>
      <c r="V92" s="2"/>
      <c r="W92" s="199"/>
      <c r="X92" s="198"/>
      <c r="Y92" s="198"/>
      <c r="Z92" s="198"/>
      <c r="AA92" s="282"/>
      <c r="AB92" s="21"/>
      <c r="AC92" s="21"/>
      <c r="AD92" s="21"/>
      <c r="AE92" s="21"/>
      <c r="AF92" s="70"/>
      <c r="AG92" s="20"/>
      <c r="AH92" s="21"/>
      <c r="AI92" s="21"/>
      <c r="AJ92" s="22"/>
      <c r="AK92" s="29"/>
      <c r="AL92" s="19"/>
      <c r="AM92" s="57"/>
      <c r="AN92" s="2"/>
      <c r="AO92" s="2"/>
      <c r="AP92" s="64"/>
      <c r="AQ92" s="69"/>
      <c r="AR92" s="21"/>
      <c r="AS92" s="21"/>
      <c r="AT92" s="21"/>
      <c r="AU92" s="25"/>
      <c r="AV92" s="21"/>
      <c r="AW92" s="22"/>
      <c r="AX92" s="2"/>
      <c r="AY92" s="23"/>
      <c r="AZ92" s="19"/>
      <c r="BA92" s="19"/>
      <c r="BB92" s="21"/>
      <c r="BC92" s="24"/>
    </row>
    <row r="93" spans="1:59" s="106" customFormat="1">
      <c r="A93" s="699"/>
      <c r="B93" s="107" t="s">
        <v>67</v>
      </c>
      <c r="C93" s="108"/>
      <c r="D93" s="109"/>
      <c r="E93" s="110"/>
      <c r="F93" s="110"/>
      <c r="G93" s="124"/>
      <c r="H93" s="125"/>
      <c r="I93" s="112"/>
      <c r="J93" s="113"/>
      <c r="K93" s="113"/>
      <c r="L93" s="114"/>
      <c r="M93" s="110"/>
      <c r="N93" s="112"/>
      <c r="O93" s="113"/>
      <c r="P93" s="113"/>
      <c r="Q93" s="114"/>
      <c r="R93" s="115"/>
      <c r="T93" s="109"/>
      <c r="U93" s="110"/>
      <c r="V93" s="110"/>
      <c r="W93" s="203"/>
      <c r="X93" s="130"/>
      <c r="Y93" s="130"/>
      <c r="Z93" s="130"/>
      <c r="AA93" s="284"/>
      <c r="AB93" s="113"/>
      <c r="AC93" s="113"/>
      <c r="AD93" s="113"/>
      <c r="AE93" s="113"/>
      <c r="AF93" s="117"/>
      <c r="AG93" s="112"/>
      <c r="AH93" s="113"/>
      <c r="AI93" s="113"/>
      <c r="AJ93" s="114"/>
      <c r="AK93" s="118"/>
      <c r="AL93" s="119"/>
      <c r="AM93" s="109"/>
      <c r="AN93" s="110"/>
      <c r="AO93" s="110"/>
      <c r="AP93" s="124"/>
      <c r="AQ93" s="126"/>
      <c r="AR93" s="113"/>
      <c r="AS93" s="113"/>
      <c r="AT93" s="113"/>
      <c r="AU93" s="120"/>
      <c r="AV93" s="113"/>
      <c r="AW93" s="114"/>
      <c r="AX93" s="110"/>
      <c r="AY93" s="127"/>
      <c r="AZ93" s="119"/>
      <c r="BA93" s="119"/>
      <c r="BB93" s="113"/>
      <c r="BC93" s="121"/>
      <c r="BG93" s="144"/>
    </row>
    <row r="94" spans="1:59" s="106" customFormat="1" ht="13.5" thickBot="1">
      <c r="A94" s="699"/>
      <c r="B94" s="131" t="s">
        <v>37</v>
      </c>
      <c r="C94" s="132" t="s">
        <v>1</v>
      </c>
      <c r="D94" s="109"/>
      <c r="E94" s="110"/>
      <c r="F94" s="110"/>
      <c r="G94" s="203"/>
      <c r="H94" s="130"/>
      <c r="I94" s="112"/>
      <c r="J94" s="113"/>
      <c r="K94" s="113"/>
      <c r="L94" s="114"/>
      <c r="M94" s="110"/>
      <c r="N94" s="127"/>
      <c r="O94" s="119"/>
      <c r="P94" s="119"/>
      <c r="Q94" s="113"/>
      <c r="R94" s="115"/>
      <c r="T94" s="109"/>
      <c r="U94" s="110"/>
      <c r="V94" s="110"/>
      <c r="W94" s="203"/>
      <c r="X94" s="130"/>
      <c r="Y94" s="130"/>
      <c r="Z94" s="130"/>
      <c r="AA94" s="285"/>
      <c r="AB94" s="113"/>
      <c r="AC94" s="113"/>
      <c r="AD94" s="113"/>
      <c r="AE94" s="113"/>
      <c r="AF94" s="117"/>
      <c r="AG94" s="112"/>
      <c r="AH94" s="113"/>
      <c r="AI94" s="113"/>
      <c r="AJ94" s="114"/>
      <c r="AK94" s="115"/>
      <c r="AL94" s="119"/>
      <c r="AM94" s="109"/>
      <c r="AN94" s="110"/>
      <c r="AO94" s="110"/>
      <c r="AP94" s="111"/>
      <c r="AQ94" s="117"/>
      <c r="AR94" s="113"/>
      <c r="AS94" s="113"/>
      <c r="AT94" s="113"/>
      <c r="AU94" s="120"/>
      <c r="AV94" s="113"/>
      <c r="AW94" s="114"/>
      <c r="AX94" s="110"/>
      <c r="AY94" s="127"/>
      <c r="AZ94" s="119"/>
      <c r="BA94" s="119"/>
      <c r="BB94" s="119"/>
      <c r="BC94" s="121"/>
      <c r="BG94" s="144"/>
    </row>
    <row r="95" spans="1:59" ht="13.5" thickBot="1">
      <c r="B95" s="19"/>
      <c r="C95" s="38"/>
      <c r="D95" s="57"/>
      <c r="E95" s="2"/>
      <c r="F95" s="2"/>
      <c r="G95" s="63"/>
      <c r="H95" s="2"/>
      <c r="I95" s="20"/>
      <c r="J95" s="21"/>
      <c r="K95" s="21"/>
      <c r="L95" s="22"/>
      <c r="M95" s="2"/>
      <c r="N95" s="23"/>
      <c r="O95" s="19"/>
      <c r="P95" s="19"/>
      <c r="Q95" s="19"/>
      <c r="R95" s="24"/>
      <c r="T95" s="57"/>
      <c r="U95" s="2"/>
      <c r="V95" s="2"/>
      <c r="W95" s="63"/>
      <c r="X95" s="2"/>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19"/>
      <c r="BC95" s="24"/>
    </row>
    <row r="96" spans="1:59" ht="13.5" thickBot="1">
      <c r="C96" s="39" t="s">
        <v>38</v>
      </c>
      <c r="D96" s="58"/>
      <c r="E96" s="59"/>
      <c r="F96" s="2"/>
      <c r="G96" s="208"/>
      <c r="H96" s="2"/>
      <c r="I96" s="20"/>
      <c r="J96" s="21"/>
      <c r="K96" s="21"/>
      <c r="L96" s="22"/>
      <c r="M96" s="2"/>
      <c r="N96" s="23"/>
      <c r="O96" s="19"/>
      <c r="P96" s="19"/>
      <c r="Q96" s="19"/>
      <c r="R96" s="24"/>
      <c r="T96" s="58"/>
      <c r="U96" s="59"/>
      <c r="V96" s="2"/>
      <c r="W96" s="208"/>
      <c r="X96" s="198"/>
      <c r="Y96" s="198"/>
      <c r="Z96" s="198"/>
      <c r="AA96" s="274"/>
      <c r="AB96" s="21"/>
      <c r="AC96" s="21"/>
      <c r="AD96" s="21"/>
      <c r="AE96" s="21"/>
      <c r="AF96" s="70"/>
      <c r="AG96" s="20"/>
      <c r="AH96" s="21"/>
      <c r="AI96" s="21"/>
      <c r="AJ96" s="22"/>
      <c r="AK96" s="40"/>
      <c r="AL96" s="19"/>
      <c r="AM96" s="58"/>
      <c r="AN96" s="59"/>
      <c r="AO96" s="2"/>
      <c r="AP96" s="65"/>
      <c r="AQ96" s="68"/>
      <c r="AR96" s="21"/>
      <c r="AS96" s="21"/>
      <c r="AT96" s="21"/>
      <c r="AU96" s="25"/>
      <c r="AV96" s="21"/>
      <c r="AW96" s="22"/>
      <c r="AX96" s="2"/>
      <c r="AY96" s="23"/>
      <c r="AZ96" s="19"/>
      <c r="BA96" s="19"/>
      <c r="BB96" s="19"/>
      <c r="BC96" s="24"/>
    </row>
    <row r="97" spans="1:73" ht="13.5" thickBot="1">
      <c r="C97" s="135" t="s">
        <v>92</v>
      </c>
      <c r="D97" s="134"/>
      <c r="E97" s="134"/>
      <c r="F97" s="134"/>
      <c r="G97" s="66"/>
      <c r="H97" s="257"/>
      <c r="I97" s="41"/>
      <c r="J97" s="218"/>
      <c r="K97" s="218"/>
      <c r="L97" s="42"/>
      <c r="M97" s="43"/>
      <c r="N97" s="44"/>
      <c r="O97" s="45"/>
      <c r="P97" s="45"/>
      <c r="Q97" s="133"/>
      <c r="R97" s="27"/>
      <c r="T97" s="60"/>
      <c r="U97" s="134"/>
      <c r="V97" s="134"/>
      <c r="W97" s="66"/>
      <c r="X97" s="362"/>
      <c r="Y97" s="362"/>
      <c r="Z97" s="362"/>
      <c r="AA97" s="287"/>
      <c r="AB97" s="45"/>
      <c r="AC97" s="45"/>
      <c r="AD97" s="45"/>
      <c r="AE97" s="45"/>
      <c r="AF97" s="85"/>
      <c r="AG97" s="44"/>
      <c r="AH97" s="44"/>
      <c r="AI97" s="45"/>
      <c r="AJ97" s="45"/>
      <c r="AK97" s="27"/>
      <c r="AL97" s="19"/>
      <c r="AM97" s="60"/>
      <c r="AN97" s="706"/>
      <c r="AO97" s="707"/>
      <c r="AP97" s="66"/>
      <c r="AQ97" s="71"/>
      <c r="AR97" s="45"/>
      <c r="AS97" s="46"/>
      <c r="AT97" s="45"/>
      <c r="AU97" s="47"/>
      <c r="AV97" s="45"/>
      <c r="AW97" s="214"/>
      <c r="AX97" s="43"/>
      <c r="AY97" s="44"/>
      <c r="AZ97" s="45"/>
      <c r="BA97" s="45"/>
      <c r="BB97" s="354"/>
      <c r="BC97" s="27"/>
    </row>
    <row r="98" spans="1:73" ht="13.5" thickBot="1">
      <c r="C98" s="136" t="s">
        <v>65</v>
      </c>
      <c r="Q98" s="49"/>
      <c r="R98" s="50"/>
      <c r="AG98" s="217"/>
      <c r="AJ98" s="353"/>
      <c r="AK98" s="216"/>
      <c r="BB98" s="353"/>
      <c r="BC98" s="216"/>
    </row>
    <row r="100" spans="1:73" ht="13.5" thickBot="1">
      <c r="C100" s="89"/>
      <c r="V100" s="215"/>
      <c r="W100" s="215"/>
      <c r="AT100" s="215"/>
      <c r="AU100" s="215"/>
      <c r="AV100" s="215"/>
      <c r="AW100" s="215"/>
    </row>
    <row r="101" spans="1:73">
      <c r="A101" s="699" t="s">
        <v>82</v>
      </c>
      <c r="B101" s="16" t="s">
        <v>3</v>
      </c>
      <c r="C101" s="148" t="s">
        <v>16</v>
      </c>
      <c r="D101" s="55"/>
      <c r="E101" s="56"/>
      <c r="F101" s="56"/>
      <c r="G101" s="149"/>
      <c r="H101" s="150"/>
      <c r="I101" s="151"/>
      <c r="J101" s="26"/>
      <c r="K101" s="26"/>
      <c r="L101" s="133"/>
      <c r="M101" s="56"/>
      <c r="N101" s="16"/>
      <c r="O101" s="18"/>
      <c r="P101" s="18"/>
      <c r="Q101" s="244"/>
      <c r="R101" s="24"/>
      <c r="S101" s="152"/>
      <c r="T101" s="55"/>
      <c r="U101" s="56"/>
      <c r="V101" s="252"/>
      <c r="W101" s="199"/>
      <c r="X101" s="197"/>
      <c r="Y101" s="197"/>
      <c r="Z101" s="197"/>
      <c r="AA101" s="290"/>
      <c r="AB101" s="26"/>
      <c r="AC101" s="26"/>
      <c r="AD101" s="26"/>
      <c r="AE101" s="26"/>
      <c r="AF101" s="84"/>
      <c r="AG101" s="151"/>
      <c r="AH101" s="26"/>
      <c r="AI101" s="26"/>
      <c r="AJ101" s="133"/>
      <c r="AK101" s="27"/>
      <c r="AL101" s="18"/>
      <c r="AM101" s="55"/>
      <c r="AN101" s="56"/>
      <c r="AO101" s="56"/>
      <c r="AP101" s="149"/>
      <c r="AQ101" s="153"/>
      <c r="AR101" s="26"/>
      <c r="AS101" s="26"/>
      <c r="AT101" s="21"/>
      <c r="AU101" s="25"/>
      <c r="AV101" s="21"/>
      <c r="AW101" s="22"/>
      <c r="AX101" s="56"/>
      <c r="AY101" s="16"/>
      <c r="AZ101" s="18"/>
      <c r="BA101" s="18"/>
      <c r="BB101" s="244"/>
      <c r="BC101" s="28"/>
      <c r="BD101" s="8"/>
      <c r="BH101" s="700" t="s">
        <v>86</v>
      </c>
      <c r="BI101" s="701"/>
      <c r="BJ101" s="701"/>
      <c r="BK101" s="701"/>
      <c r="BL101" s="702"/>
      <c r="BM101" s="700" t="s">
        <v>87</v>
      </c>
      <c r="BN101" s="702"/>
      <c r="BP101" s="8"/>
      <c r="BQ101" s="8"/>
      <c r="BR101" s="8"/>
      <c r="BS101" s="8"/>
      <c r="BT101" s="8"/>
      <c r="BU101" s="8"/>
    </row>
    <row r="102" spans="1:73">
      <c r="A102" s="699"/>
      <c r="B102" s="23"/>
      <c r="C102" s="17" t="s">
        <v>17</v>
      </c>
      <c r="D102" s="57"/>
      <c r="E102" s="2"/>
      <c r="F102" s="2"/>
      <c r="G102" s="63"/>
      <c r="H102" s="5"/>
      <c r="I102" s="20"/>
      <c r="J102" s="21"/>
      <c r="K102" s="21"/>
      <c r="L102" s="22"/>
      <c r="M102" s="2"/>
      <c r="N102" s="23"/>
      <c r="O102" s="19"/>
      <c r="P102" s="19"/>
      <c r="Q102" s="19"/>
      <c r="R102" s="24"/>
      <c r="T102" s="57"/>
      <c r="U102" s="2"/>
      <c r="V102" s="252"/>
      <c r="W102" s="199"/>
      <c r="X102" s="198"/>
      <c r="Y102" s="198"/>
      <c r="Z102" s="198"/>
      <c r="AA102" s="272"/>
      <c r="AB102" s="21"/>
      <c r="AC102" s="21"/>
      <c r="AD102" s="21"/>
      <c r="AE102" s="21"/>
      <c r="AF102" s="70"/>
      <c r="AG102" s="20"/>
      <c r="AH102" s="21"/>
      <c r="AI102" s="21"/>
      <c r="AJ102" s="22"/>
      <c r="AK102" s="29"/>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7"/>
      <c r="BS102" s="7"/>
      <c r="BT102" s="7"/>
      <c r="BU102" s="7"/>
    </row>
    <row r="103" spans="1:73">
      <c r="A103" s="699"/>
      <c r="B103" s="23"/>
      <c r="C103" s="17" t="s">
        <v>18</v>
      </c>
      <c r="D103" s="57"/>
      <c r="E103" s="2"/>
      <c r="F103" s="2"/>
      <c r="G103" s="63"/>
      <c r="H103" s="5"/>
      <c r="I103" s="20"/>
      <c r="J103" s="21"/>
      <c r="K103" s="21"/>
      <c r="L103" s="22"/>
      <c r="M103" s="2"/>
      <c r="N103" s="23"/>
      <c r="O103" s="19"/>
      <c r="P103" s="19"/>
      <c r="Q103" s="19"/>
      <c r="R103" s="24"/>
      <c r="T103" s="57"/>
      <c r="U103" s="2"/>
      <c r="V103" s="252"/>
      <c r="W103" s="199"/>
      <c r="X103" s="198"/>
      <c r="Y103" s="198"/>
      <c r="Z103" s="198"/>
      <c r="AA103" s="272"/>
      <c r="AB103" s="21"/>
      <c r="AC103" s="21"/>
      <c r="AD103" s="21"/>
      <c r="AE103" s="21"/>
      <c r="AF103" s="70"/>
      <c r="AG103" s="20"/>
      <c r="AH103" s="21"/>
      <c r="AI103" s="21"/>
      <c r="AJ103" s="22"/>
      <c r="AK103" s="29"/>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0"/>
      <c r="BS103" s="31"/>
      <c r="BT103" s="31"/>
      <c r="BU103" s="32"/>
    </row>
    <row r="104" spans="1:73">
      <c r="A104" s="699"/>
      <c r="B104" s="23"/>
      <c r="C104" s="17" t="s">
        <v>182</v>
      </c>
      <c r="D104" s="57"/>
      <c r="E104" s="2"/>
      <c r="F104" s="2"/>
      <c r="G104" s="63"/>
      <c r="H104" s="2"/>
      <c r="I104" s="20"/>
      <c r="J104" s="21"/>
      <c r="K104" s="21"/>
      <c r="L104" s="22"/>
      <c r="M104" s="2"/>
      <c r="N104" s="23"/>
      <c r="O104" s="19"/>
      <c r="P104" s="19"/>
      <c r="Q104" s="19"/>
      <c r="R104" s="24"/>
      <c r="T104" s="57"/>
      <c r="U104" s="2"/>
      <c r="V104" s="252"/>
      <c r="W104" s="199"/>
      <c r="X104" s="198"/>
      <c r="Y104" s="198"/>
      <c r="Z104" s="198"/>
      <c r="AA104" s="274"/>
      <c r="AB104" s="21"/>
      <c r="AC104" s="21"/>
      <c r="AD104" s="21"/>
      <c r="AE104" s="21"/>
      <c r="AF104" s="70"/>
      <c r="AG104" s="20"/>
      <c r="AH104" s="21"/>
      <c r="AI104" s="21"/>
      <c r="AJ104" s="22"/>
      <c r="AK104" s="29"/>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0</v>
      </c>
      <c r="BI104" s="52">
        <f>O144/1000</f>
        <v>0</v>
      </c>
      <c r="BJ104" s="52">
        <f>P144/1000</f>
        <v>0</v>
      </c>
      <c r="BK104" s="53">
        <f>Q144/1000</f>
        <v>0</v>
      </c>
      <c r="BL104" s="54">
        <f>R144/1000</f>
        <v>0</v>
      </c>
      <c r="BM104" s="51">
        <f>Q145/1000</f>
        <v>0</v>
      </c>
      <c r="BN104" s="54">
        <f>R145/1000</f>
        <v>0</v>
      </c>
      <c r="BP104" s="30"/>
      <c r="BQ104" s="30"/>
      <c r="BR104" s="30"/>
      <c r="BS104" s="31"/>
      <c r="BT104" s="31"/>
      <c r="BU104" s="32"/>
    </row>
    <row r="105" spans="1:73">
      <c r="A105" s="699"/>
      <c r="B105" s="23"/>
      <c r="C105" s="17" t="s">
        <v>183</v>
      </c>
      <c r="D105" s="57"/>
      <c r="E105" s="2"/>
      <c r="F105" s="2"/>
      <c r="G105" s="63"/>
      <c r="H105" s="2"/>
      <c r="I105" s="20"/>
      <c r="J105" s="21"/>
      <c r="K105" s="21"/>
      <c r="L105" s="22"/>
      <c r="M105" s="2"/>
      <c r="N105" s="23"/>
      <c r="O105" s="19"/>
      <c r="P105" s="19"/>
      <c r="Q105" s="19"/>
      <c r="R105" s="33"/>
      <c r="T105" s="57"/>
      <c r="U105" s="2"/>
      <c r="V105" s="252"/>
      <c r="W105" s="199"/>
      <c r="X105" s="198"/>
      <c r="Y105" s="198"/>
      <c r="Z105" s="198"/>
      <c r="AA105" s="274"/>
      <c r="AB105" s="21"/>
      <c r="AC105" s="21"/>
      <c r="AD105" s="21"/>
      <c r="AE105" s="21"/>
      <c r="AF105" s="70"/>
      <c r="AG105" s="20"/>
      <c r="AH105" s="21"/>
      <c r="AI105" s="21"/>
      <c r="AJ105" s="22"/>
      <c r="AK105" s="29"/>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0</v>
      </c>
      <c r="BI105" s="52">
        <f>AH144/1000</f>
        <v>0</v>
      </c>
      <c r="BJ105" s="52">
        <f>AI144/1000</f>
        <v>0</v>
      </c>
      <c r="BK105" s="53">
        <f>AJ144/1000</f>
        <v>0</v>
      </c>
      <c r="BL105" s="54">
        <f>AK144/1000</f>
        <v>0</v>
      </c>
      <c r="BM105" s="51">
        <f>AJ145/1000</f>
        <v>0</v>
      </c>
      <c r="BN105" s="54">
        <f>AK145/1000</f>
        <v>0</v>
      </c>
    </row>
    <row r="106" spans="1:73" s="106" customFormat="1">
      <c r="A106" s="699"/>
      <c r="B106" s="107" t="s">
        <v>67</v>
      </c>
      <c r="C106" s="108"/>
      <c r="D106" s="109"/>
      <c r="E106" s="110"/>
      <c r="F106" s="110"/>
      <c r="G106" s="111"/>
      <c r="H106" s="110"/>
      <c r="I106" s="112"/>
      <c r="J106" s="113"/>
      <c r="K106" s="113"/>
      <c r="L106" s="114"/>
      <c r="M106" s="110"/>
      <c r="N106" s="112"/>
      <c r="O106" s="113"/>
      <c r="P106" s="113"/>
      <c r="Q106" s="114"/>
      <c r="R106" s="115"/>
      <c r="T106" s="109"/>
      <c r="U106" s="110"/>
      <c r="V106" s="253"/>
      <c r="W106" s="203"/>
      <c r="X106" s="130"/>
      <c r="Y106" s="130"/>
      <c r="Z106" s="130"/>
      <c r="AA106" s="276"/>
      <c r="AB106" s="113"/>
      <c r="AC106" s="113"/>
      <c r="AD106" s="113"/>
      <c r="AE106" s="113"/>
      <c r="AF106" s="117"/>
      <c r="AG106" s="112"/>
      <c r="AH106" s="113"/>
      <c r="AI106" s="113"/>
      <c r="AJ106" s="114"/>
      <c r="AK106" s="118"/>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0</v>
      </c>
      <c r="BI106" s="52">
        <f>AZ144/1000</f>
        <v>0</v>
      </c>
      <c r="BJ106" s="52">
        <f>BA144/1000</f>
        <v>0</v>
      </c>
      <c r="BK106" s="53">
        <f>BB144/1000</f>
        <v>0</v>
      </c>
      <c r="BL106" s="54">
        <f>BC144/1000</f>
        <v>0</v>
      </c>
      <c r="BM106" s="51">
        <f>BB145/1000</f>
        <v>0</v>
      </c>
      <c r="BN106" s="54">
        <f>BC145/1000</f>
        <v>0</v>
      </c>
      <c r="BO106" s="6"/>
    </row>
    <row r="107" spans="1:73">
      <c r="A107" s="699"/>
      <c r="B107" s="23" t="s">
        <v>4</v>
      </c>
      <c r="C107" s="17" t="s">
        <v>19</v>
      </c>
      <c r="D107" s="57"/>
      <c r="E107" s="2"/>
      <c r="F107" s="2"/>
      <c r="G107" s="63"/>
      <c r="H107" s="2"/>
      <c r="I107" s="20"/>
      <c r="J107" s="21"/>
      <c r="K107" s="21"/>
      <c r="L107" s="22"/>
      <c r="M107" s="2"/>
      <c r="N107" s="23"/>
      <c r="O107" s="19"/>
      <c r="P107" s="19"/>
      <c r="Q107" s="19"/>
      <c r="R107" s="33"/>
      <c r="T107" s="57"/>
      <c r="U107" s="2"/>
      <c r="V107" s="252"/>
      <c r="W107" s="199"/>
      <c r="X107" s="198"/>
      <c r="Y107" s="198"/>
      <c r="Z107" s="198"/>
      <c r="AA107" s="274"/>
      <c r="AB107" s="21"/>
      <c r="AC107" s="21"/>
      <c r="AD107" s="21"/>
      <c r="AE107" s="21"/>
      <c r="AF107" s="70"/>
      <c r="AG107" s="20"/>
      <c r="AH107" s="21"/>
      <c r="AI107" s="21"/>
      <c r="AJ107" s="22"/>
      <c r="AK107" s="29"/>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t="e">
        <f t="shared" ref="BH107:BN107" si="9">SUM(BH105:BH106)/BH108</f>
        <v>#DIV/0!</v>
      </c>
      <c r="BI107" s="86" t="e">
        <f t="shared" si="9"/>
        <v>#DIV/0!</v>
      </c>
      <c r="BJ107" s="86" t="e">
        <f t="shared" si="9"/>
        <v>#DIV/0!</v>
      </c>
      <c r="BK107" s="87" t="e">
        <f t="shared" si="9"/>
        <v>#DIV/0!</v>
      </c>
      <c r="BL107" s="87" t="e">
        <f t="shared" si="9"/>
        <v>#DIV/0!</v>
      </c>
      <c r="BM107" s="88" t="e">
        <f t="shared" si="9"/>
        <v>#DIV/0!</v>
      </c>
      <c r="BN107" s="87" t="e">
        <f t="shared" si="9"/>
        <v>#DIV/0!</v>
      </c>
    </row>
    <row r="108" spans="1:73">
      <c r="A108" s="699"/>
      <c r="B108" s="23"/>
      <c r="C108" s="17" t="s">
        <v>20</v>
      </c>
      <c r="D108" s="57"/>
      <c r="E108" s="2"/>
      <c r="F108" s="2"/>
      <c r="G108" s="63"/>
      <c r="H108" s="2"/>
      <c r="I108" s="20"/>
      <c r="J108" s="21"/>
      <c r="K108" s="21"/>
      <c r="L108" s="22"/>
      <c r="M108" s="2"/>
      <c r="N108" s="23"/>
      <c r="O108" s="19"/>
      <c r="P108" s="19"/>
      <c r="Q108" s="19"/>
      <c r="R108" s="33"/>
      <c r="T108" s="57"/>
      <c r="U108" s="2"/>
      <c r="V108" s="252"/>
      <c r="W108" s="199"/>
      <c r="X108" s="198"/>
      <c r="Y108" s="198"/>
      <c r="Z108" s="198"/>
      <c r="AA108" s="274"/>
      <c r="AB108" s="21"/>
      <c r="AC108" s="21"/>
      <c r="AD108" s="21"/>
      <c r="AE108" s="21"/>
      <c r="AF108" s="70"/>
      <c r="AG108" s="20"/>
      <c r="AH108" s="21"/>
      <c r="AI108" s="21"/>
      <c r="AJ108" s="22"/>
      <c r="AK108" s="29"/>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10">SUM(BH104:BH106)</f>
        <v>0</v>
      </c>
      <c r="BI108" s="52">
        <f t="shared" si="10"/>
        <v>0</v>
      </c>
      <c r="BJ108" s="52">
        <f t="shared" si="10"/>
        <v>0</v>
      </c>
      <c r="BK108" s="74">
        <f t="shared" si="10"/>
        <v>0</v>
      </c>
      <c r="BL108" s="76">
        <f t="shared" si="10"/>
        <v>0</v>
      </c>
      <c r="BM108" s="81">
        <f t="shared" si="10"/>
        <v>0</v>
      </c>
      <c r="BN108" s="76">
        <f t="shared" si="10"/>
        <v>0</v>
      </c>
    </row>
    <row r="109" spans="1:73">
      <c r="A109" s="699"/>
      <c r="B109" s="23"/>
      <c r="C109" s="17" t="s">
        <v>21</v>
      </c>
      <c r="D109" s="57"/>
      <c r="E109" s="2"/>
      <c r="F109" s="2"/>
      <c r="G109" s="63"/>
      <c r="H109" s="2"/>
      <c r="I109" s="20"/>
      <c r="J109" s="21"/>
      <c r="K109" s="21"/>
      <c r="L109" s="22"/>
      <c r="M109" s="2"/>
      <c r="N109" s="23"/>
      <c r="O109" s="19"/>
      <c r="P109" s="19"/>
      <c r="Q109" s="19"/>
      <c r="R109" s="33"/>
      <c r="T109" s="57"/>
      <c r="U109" s="2"/>
      <c r="V109" s="252"/>
      <c r="W109" s="199"/>
      <c r="X109" s="198"/>
      <c r="Y109" s="198"/>
      <c r="Z109" s="198"/>
      <c r="AA109" s="274"/>
      <c r="AB109" s="21"/>
      <c r="AC109" s="21"/>
      <c r="AD109" s="21"/>
      <c r="AE109" s="21"/>
      <c r="AF109" s="70"/>
      <c r="AG109" s="20"/>
      <c r="AH109" s="21"/>
      <c r="AI109" s="21"/>
      <c r="AJ109" s="22"/>
      <c r="AK109" s="29"/>
      <c r="AL109" s="19"/>
      <c r="AM109" s="57"/>
      <c r="AN109" s="2"/>
      <c r="AO109" s="2"/>
      <c r="AP109" s="63"/>
      <c r="AQ109" s="68"/>
      <c r="AR109" s="21"/>
      <c r="AS109" s="21"/>
      <c r="AT109" s="21"/>
      <c r="AU109" s="25"/>
      <c r="AV109" s="21"/>
      <c r="AW109" s="22"/>
      <c r="AX109" s="2"/>
      <c r="AY109" s="23"/>
      <c r="AZ109" s="19"/>
      <c r="BA109" s="19"/>
      <c r="BB109" s="19"/>
      <c r="BC109" s="24"/>
      <c r="BD109" s="30"/>
    </row>
    <row r="110" spans="1:73" s="106" customFormat="1">
      <c r="A110" s="699"/>
      <c r="B110" s="107" t="s">
        <v>67</v>
      </c>
      <c r="C110" s="108"/>
      <c r="D110" s="109"/>
      <c r="E110" s="110"/>
      <c r="F110" s="110"/>
      <c r="G110" s="111"/>
      <c r="H110" s="110"/>
      <c r="I110" s="112"/>
      <c r="J110" s="113"/>
      <c r="K110" s="113"/>
      <c r="L110" s="114"/>
      <c r="M110" s="110"/>
      <c r="N110" s="112"/>
      <c r="O110" s="113"/>
      <c r="P110" s="113"/>
      <c r="Q110" s="114"/>
      <c r="R110" s="115"/>
      <c r="T110" s="109"/>
      <c r="U110" s="110"/>
      <c r="V110" s="253"/>
      <c r="W110" s="203"/>
      <c r="X110" s="130"/>
      <c r="Y110" s="130"/>
      <c r="Z110" s="130"/>
      <c r="AA110" s="276"/>
      <c r="AB110" s="113"/>
      <c r="AC110" s="113"/>
      <c r="AD110" s="113"/>
      <c r="AE110" s="113"/>
      <c r="AF110" s="117"/>
      <c r="AG110" s="112"/>
      <c r="AH110" s="113"/>
      <c r="AI110" s="113"/>
      <c r="AJ110" s="114"/>
      <c r="AK110" s="118"/>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row>
    <row r="111" spans="1:73">
      <c r="A111" s="699"/>
      <c r="B111" s="23" t="s">
        <v>2</v>
      </c>
      <c r="C111" s="17" t="s">
        <v>22</v>
      </c>
      <c r="D111" s="57"/>
      <c r="E111" s="2"/>
      <c r="F111" s="2"/>
      <c r="G111" s="63"/>
      <c r="H111" s="2"/>
      <c r="I111" s="20"/>
      <c r="J111" s="21"/>
      <c r="K111" s="21"/>
      <c r="L111" s="22"/>
      <c r="M111" s="2"/>
      <c r="N111" s="20"/>
      <c r="O111" s="21"/>
      <c r="P111" s="21"/>
      <c r="Q111" s="21"/>
      <c r="R111" s="34"/>
      <c r="T111" s="57"/>
      <c r="U111" s="2"/>
      <c r="V111" s="252"/>
      <c r="W111" s="199"/>
      <c r="X111" s="198"/>
      <c r="Y111" s="198"/>
      <c r="Z111" s="198"/>
      <c r="AA111" s="274"/>
      <c r="AB111" s="21"/>
      <c r="AC111" s="21"/>
      <c r="AD111" s="21"/>
      <c r="AE111" s="21"/>
      <c r="AF111" s="70"/>
      <c r="AG111" s="20"/>
      <c r="AH111" s="21"/>
      <c r="AI111" s="21"/>
      <c r="AJ111" s="22"/>
      <c r="AK111" s="29"/>
      <c r="AL111" s="19"/>
      <c r="AM111" s="57"/>
      <c r="AN111" s="2"/>
      <c r="AO111" s="2"/>
      <c r="AP111" s="63"/>
      <c r="AQ111" s="70"/>
      <c r="AR111" s="21"/>
      <c r="AS111" s="35"/>
      <c r="AT111" s="21"/>
      <c r="AU111" s="25"/>
      <c r="AV111" s="21"/>
      <c r="AW111" s="22"/>
      <c r="AX111" s="82"/>
      <c r="AY111" s="20"/>
      <c r="AZ111" s="21"/>
      <c r="BA111" s="21"/>
      <c r="BB111" s="21"/>
      <c r="BC111" s="29"/>
      <c r="BD111" s="30"/>
    </row>
    <row r="112" spans="1:73">
      <c r="A112" s="699"/>
      <c r="B112" s="23"/>
      <c r="C112" s="17" t="s">
        <v>23</v>
      </c>
      <c r="D112" s="57"/>
      <c r="E112" s="2"/>
      <c r="F112" s="2"/>
      <c r="G112" s="63"/>
      <c r="H112" s="2"/>
      <c r="I112" s="20"/>
      <c r="J112" s="21"/>
      <c r="K112" s="21"/>
      <c r="L112" s="22"/>
      <c r="M112" s="2"/>
      <c r="N112" s="20"/>
      <c r="O112" s="21"/>
      <c r="P112" s="21"/>
      <c r="Q112" s="21"/>
      <c r="R112" s="34"/>
      <c r="T112" s="201"/>
      <c r="U112" s="2"/>
      <c r="V112" s="252"/>
      <c r="W112" s="199"/>
      <c r="X112" s="198"/>
      <c r="Y112" s="198"/>
      <c r="Z112" s="198"/>
      <c r="AA112" s="274"/>
      <c r="AB112" s="21"/>
      <c r="AC112" s="21"/>
      <c r="AD112" s="21"/>
      <c r="AE112" s="21"/>
      <c r="AF112" s="70"/>
      <c r="AG112" s="20"/>
      <c r="AH112" s="21"/>
      <c r="AI112" s="21"/>
      <c r="AJ112" s="22"/>
      <c r="AK112" s="29"/>
      <c r="AL112" s="19"/>
      <c r="AM112" s="57"/>
      <c r="AN112" s="2"/>
      <c r="AO112" s="2"/>
      <c r="AP112" s="63"/>
      <c r="AQ112" s="68"/>
      <c r="AR112" s="21"/>
      <c r="AS112" s="35"/>
      <c r="AT112" s="21"/>
      <c r="AU112" s="25"/>
      <c r="AV112" s="21"/>
      <c r="AW112" s="22"/>
      <c r="AX112" s="2"/>
      <c r="AY112" s="20"/>
      <c r="AZ112" s="21"/>
      <c r="BA112" s="21"/>
      <c r="BB112" s="21"/>
      <c r="BC112" s="29"/>
      <c r="BD112" s="36"/>
    </row>
    <row r="113" spans="1:67">
      <c r="A113" s="699"/>
      <c r="B113" s="23"/>
      <c r="C113" s="17" t="s">
        <v>24</v>
      </c>
      <c r="D113" s="57"/>
      <c r="E113" s="2"/>
      <c r="F113" s="2"/>
      <c r="G113" s="63"/>
      <c r="H113" s="2"/>
      <c r="I113" s="20"/>
      <c r="J113" s="21"/>
      <c r="K113" s="21"/>
      <c r="L113" s="22"/>
      <c r="M113" s="2"/>
      <c r="N113" s="20"/>
      <c r="O113" s="21"/>
      <c r="P113" s="21"/>
      <c r="Q113" s="21"/>
      <c r="R113" s="34"/>
      <c r="T113" s="57"/>
      <c r="U113" s="2"/>
      <c r="V113" s="252"/>
      <c r="W113" s="199"/>
      <c r="X113" s="198"/>
      <c r="Y113" s="198"/>
      <c r="Z113" s="198"/>
      <c r="AA113" s="274"/>
      <c r="AB113" s="21"/>
      <c r="AC113" s="21"/>
      <c r="AD113" s="21"/>
      <c r="AE113" s="21"/>
      <c r="AF113" s="70"/>
      <c r="AG113" s="20"/>
      <c r="AH113" s="21"/>
      <c r="AI113" s="21"/>
      <c r="AJ113" s="22"/>
      <c r="AK113" s="29"/>
      <c r="AL113" s="19"/>
      <c r="AM113" s="57"/>
      <c r="AN113" s="2"/>
      <c r="AO113" s="2"/>
      <c r="AP113" s="63"/>
      <c r="AQ113" s="70"/>
      <c r="AR113" s="21"/>
      <c r="AS113" s="35"/>
      <c r="AT113" s="21"/>
      <c r="AU113" s="25"/>
      <c r="AV113" s="21"/>
      <c r="AW113" s="22"/>
      <c r="AX113" s="2"/>
      <c r="AY113" s="20"/>
      <c r="AZ113" s="21"/>
      <c r="BA113" s="21"/>
      <c r="BB113" s="21"/>
      <c r="BC113" s="29"/>
    </row>
    <row r="114" spans="1:67">
      <c r="A114" s="699"/>
      <c r="B114" s="23"/>
      <c r="C114" s="17" t="s">
        <v>25</v>
      </c>
      <c r="D114" s="57"/>
      <c r="E114" s="2"/>
      <c r="F114" s="2"/>
      <c r="G114" s="63"/>
      <c r="H114" s="2"/>
      <c r="I114" s="20"/>
      <c r="J114" s="21"/>
      <c r="K114" s="21"/>
      <c r="L114" s="22"/>
      <c r="M114" s="2"/>
      <c r="N114" s="20"/>
      <c r="O114" s="21"/>
      <c r="P114" s="21"/>
      <c r="Q114" s="21"/>
      <c r="R114" s="34"/>
      <c r="T114" s="57"/>
      <c r="U114" s="2"/>
      <c r="V114" s="252"/>
      <c r="W114" s="199"/>
      <c r="X114" s="198"/>
      <c r="Y114" s="198"/>
      <c r="Z114" s="198"/>
      <c r="AA114" s="274"/>
      <c r="AB114" s="21"/>
      <c r="AC114" s="21"/>
      <c r="AD114" s="21"/>
      <c r="AE114" s="21"/>
      <c r="AF114" s="70"/>
      <c r="AG114" s="20"/>
      <c r="AH114" s="21"/>
      <c r="AI114" s="21"/>
      <c r="AJ114" s="22"/>
      <c r="AK114" s="29"/>
      <c r="AL114" s="19"/>
      <c r="AM114" s="57"/>
      <c r="AN114" s="2"/>
      <c r="AO114" s="2"/>
      <c r="AP114" s="63"/>
      <c r="AQ114" s="68"/>
      <c r="AR114" s="21"/>
      <c r="AS114" s="35"/>
      <c r="AT114" s="21"/>
      <c r="AU114" s="25"/>
      <c r="AV114" s="21"/>
      <c r="AW114" s="22"/>
      <c r="AX114" s="83"/>
      <c r="AY114" s="20"/>
      <c r="AZ114" s="21"/>
      <c r="BA114" s="21"/>
      <c r="BB114" s="21"/>
      <c r="BC114" s="29"/>
    </row>
    <row r="115" spans="1:67">
      <c r="A115" s="699"/>
      <c r="B115" s="23"/>
      <c r="C115" s="17" t="s">
        <v>0</v>
      </c>
      <c r="D115" s="57"/>
      <c r="E115" s="2"/>
      <c r="F115" s="2"/>
      <c r="G115" s="199"/>
      <c r="H115" s="198"/>
      <c r="I115" s="112"/>
      <c r="J115" s="21"/>
      <c r="K115" s="21"/>
      <c r="L115" s="22"/>
      <c r="M115" s="2"/>
      <c r="N115" s="20"/>
      <c r="O115" s="19"/>
      <c r="P115" s="19"/>
      <c r="Q115" s="19"/>
      <c r="R115" s="34"/>
      <c r="T115" s="57"/>
      <c r="U115" s="2"/>
      <c r="V115" s="252"/>
      <c r="W115" s="199"/>
      <c r="X115" s="198"/>
      <c r="Y115" s="198"/>
      <c r="Z115" s="198"/>
      <c r="AA115" s="278"/>
      <c r="AB115" s="21"/>
      <c r="AC115" s="21"/>
      <c r="AD115" s="21"/>
      <c r="AE115" s="21"/>
      <c r="AF115" s="70"/>
      <c r="AG115" s="20"/>
      <c r="AH115" s="21"/>
      <c r="AI115" s="21"/>
      <c r="AJ115" s="22"/>
      <c r="AK115" s="29"/>
      <c r="AL115" s="19"/>
      <c r="AM115" s="57"/>
      <c r="AN115" s="2"/>
      <c r="AO115" s="2"/>
      <c r="AP115" s="63"/>
      <c r="AQ115" s="68"/>
      <c r="AR115" s="21"/>
      <c r="AS115" s="35"/>
      <c r="AT115" s="21"/>
      <c r="AU115" s="25"/>
      <c r="AV115" s="21"/>
      <c r="AW115" s="22"/>
      <c r="AX115" s="2"/>
      <c r="AY115" s="23"/>
      <c r="AZ115" s="19"/>
      <c r="BA115" s="19"/>
      <c r="BB115" s="21"/>
      <c r="BC115" s="24"/>
    </row>
    <row r="116" spans="1:67" s="106" customFormat="1">
      <c r="A116" s="699"/>
      <c r="B116" s="107" t="s">
        <v>67</v>
      </c>
      <c r="C116" s="108"/>
      <c r="D116" s="109"/>
      <c r="E116" s="110"/>
      <c r="F116" s="110"/>
      <c r="G116" s="111"/>
      <c r="H116" s="110"/>
      <c r="I116" s="112"/>
      <c r="J116" s="113"/>
      <c r="K116" s="113"/>
      <c r="L116" s="114"/>
      <c r="M116" s="110"/>
      <c r="N116" s="112"/>
      <c r="O116" s="113"/>
      <c r="P116" s="113"/>
      <c r="Q116" s="114"/>
      <c r="R116" s="115"/>
      <c r="T116" s="109"/>
      <c r="U116" s="110"/>
      <c r="V116" s="253"/>
      <c r="W116" s="203"/>
      <c r="X116" s="130"/>
      <c r="Y116" s="130"/>
      <c r="Z116" s="130"/>
      <c r="AA116" s="276"/>
      <c r="AB116" s="113"/>
      <c r="AC116" s="113"/>
      <c r="AD116" s="113"/>
      <c r="AE116" s="113"/>
      <c r="AF116" s="117"/>
      <c r="AG116" s="112"/>
      <c r="AH116" s="113"/>
      <c r="AI116" s="113"/>
      <c r="AJ116" s="114"/>
      <c r="AK116" s="118"/>
      <c r="AL116" s="119"/>
      <c r="AM116" s="109"/>
      <c r="AN116" s="110"/>
      <c r="AO116" s="110"/>
      <c r="AP116" s="111"/>
      <c r="AQ116" s="116"/>
      <c r="AR116" s="113"/>
      <c r="AS116" s="113"/>
      <c r="AT116" s="113"/>
      <c r="AU116" s="120"/>
      <c r="AV116" s="113"/>
      <c r="AW116" s="114"/>
      <c r="AX116" s="110"/>
      <c r="AY116" s="241"/>
      <c r="AZ116" s="242"/>
      <c r="BA116" s="242"/>
      <c r="BB116" s="243"/>
      <c r="BC116" s="118"/>
      <c r="BD116" s="122"/>
      <c r="BG116" s="146"/>
      <c r="BH116" s="138" t="s">
        <v>72</v>
      </c>
      <c r="BI116" s="138" t="s">
        <v>68</v>
      </c>
      <c r="BJ116" s="138" t="s">
        <v>69</v>
      </c>
      <c r="BK116" s="138" t="s">
        <v>73</v>
      </c>
      <c r="BL116" s="138" t="s">
        <v>78</v>
      </c>
      <c r="BM116" s="6"/>
      <c r="BN116" s="6"/>
      <c r="BO116" s="6"/>
    </row>
    <row r="117" spans="1:67">
      <c r="A117" s="699"/>
      <c r="B117" s="23" t="s">
        <v>5</v>
      </c>
      <c r="C117" s="17" t="s">
        <v>26</v>
      </c>
      <c r="D117" s="57"/>
      <c r="E117" s="2"/>
      <c r="F117" s="2"/>
      <c r="G117" s="63"/>
      <c r="H117" s="2"/>
      <c r="I117" s="20"/>
      <c r="J117" s="21"/>
      <c r="K117" s="21"/>
      <c r="L117" s="22"/>
      <c r="M117" s="2"/>
      <c r="N117" s="23"/>
      <c r="O117" s="19"/>
      <c r="P117" s="19"/>
      <c r="Q117" s="19"/>
      <c r="R117" s="33"/>
      <c r="T117" s="57"/>
      <c r="U117" s="2"/>
      <c r="V117" s="252"/>
      <c r="W117" s="199"/>
      <c r="X117" s="198"/>
      <c r="Y117" s="198"/>
      <c r="Z117" s="198"/>
      <c r="AA117" s="274"/>
      <c r="AB117" s="21"/>
      <c r="AC117" s="21"/>
      <c r="AD117" s="21"/>
      <c r="AE117" s="21"/>
      <c r="AF117" s="70"/>
      <c r="AG117" s="20"/>
      <c r="AH117" s="21"/>
      <c r="AI117" s="21"/>
      <c r="AJ117" s="22"/>
      <c r="AK117" s="29"/>
      <c r="AL117" s="19"/>
      <c r="AM117" s="57"/>
      <c r="AN117" s="2"/>
      <c r="AO117" s="2"/>
      <c r="AP117" s="63"/>
      <c r="AQ117" s="68"/>
      <c r="AR117" s="21"/>
      <c r="AS117" s="21"/>
      <c r="AT117" s="21"/>
      <c r="AU117" s="240"/>
      <c r="AV117" s="19"/>
      <c r="AW117" s="195"/>
      <c r="AX117" s="2"/>
      <c r="AY117" s="238"/>
      <c r="BB117" s="19"/>
      <c r="BC117" s="24"/>
      <c r="BG117" s="147" t="s">
        <v>3</v>
      </c>
      <c r="BH117" s="52">
        <f>Q106/1000</f>
        <v>0</v>
      </c>
      <c r="BI117" s="52">
        <f>AJ106/1000</f>
        <v>0</v>
      </c>
      <c r="BJ117" s="52">
        <f>BB106/1000</f>
        <v>0</v>
      </c>
      <c r="BK117" s="137" t="e">
        <f>SUM(BI117:BJ117)/BL117</f>
        <v>#DIV/0!</v>
      </c>
      <c r="BL117" s="52">
        <f>SUM(BH117:BJ117)</f>
        <v>0</v>
      </c>
    </row>
    <row r="118" spans="1:67">
      <c r="A118" s="699"/>
      <c r="B118" s="23"/>
      <c r="C118" s="17" t="s">
        <v>27</v>
      </c>
      <c r="D118" s="57"/>
      <c r="E118" s="2"/>
      <c r="F118" s="2"/>
      <c r="G118" s="63"/>
      <c r="H118" s="2"/>
      <c r="I118" s="20"/>
      <c r="J118" s="21"/>
      <c r="K118" s="21"/>
      <c r="L118" s="22"/>
      <c r="M118" s="2"/>
      <c r="N118" s="23"/>
      <c r="O118" s="19"/>
      <c r="P118" s="19"/>
      <c r="Q118" s="19"/>
      <c r="R118" s="33"/>
      <c r="T118" s="57"/>
      <c r="U118" s="2"/>
      <c r="V118" s="252"/>
      <c r="W118" s="199"/>
      <c r="X118" s="198"/>
      <c r="Y118" s="198"/>
      <c r="Z118" s="198"/>
      <c r="AA118" s="274"/>
      <c r="AB118" s="21"/>
      <c r="AC118" s="21"/>
      <c r="AD118" s="21"/>
      <c r="AE118" s="21"/>
      <c r="AF118" s="70"/>
      <c r="AG118" s="20"/>
      <c r="AH118" s="21"/>
      <c r="AI118" s="21"/>
      <c r="AJ118" s="22"/>
      <c r="AK118" s="29"/>
      <c r="AL118" s="19"/>
      <c r="AM118" s="57"/>
      <c r="AN118" s="2"/>
      <c r="AO118" s="2"/>
      <c r="AP118" s="63"/>
      <c r="AQ118" s="68"/>
      <c r="AR118" s="21"/>
      <c r="AS118" s="21"/>
      <c r="AT118" s="21"/>
      <c r="AU118" s="240"/>
      <c r="AV118" s="19"/>
      <c r="AW118" s="195"/>
      <c r="AX118" s="2"/>
      <c r="AY118" s="238"/>
      <c r="BB118" s="19"/>
      <c r="BC118" s="24"/>
      <c r="BG118" s="147" t="s">
        <v>4</v>
      </c>
      <c r="BH118" s="52">
        <f>Q110/1000</f>
        <v>0</v>
      </c>
      <c r="BI118" s="52">
        <f>AJ110/1000</f>
        <v>0</v>
      </c>
      <c r="BJ118" s="52">
        <f>BB110/1000</f>
        <v>0</v>
      </c>
      <c r="BK118" s="137" t="e">
        <f t="shared" ref="BK118:BK125" si="11">SUM(BI118:BJ118)/BL118</f>
        <v>#DIV/0!</v>
      </c>
      <c r="BL118" s="52">
        <f t="shared" ref="BL118:BL125" si="12">SUM(BH118:BJ118)</f>
        <v>0</v>
      </c>
    </row>
    <row r="119" spans="1:67">
      <c r="A119" s="699"/>
      <c r="B119" s="23"/>
      <c r="C119" s="17" t="s">
        <v>28</v>
      </c>
      <c r="D119" s="57"/>
      <c r="E119" s="2"/>
      <c r="F119" s="2"/>
      <c r="G119" s="63"/>
      <c r="H119" s="2"/>
      <c r="I119" s="20"/>
      <c r="J119" s="21"/>
      <c r="K119" s="21"/>
      <c r="L119" s="22"/>
      <c r="M119" s="2"/>
      <c r="N119" s="23"/>
      <c r="O119" s="19"/>
      <c r="P119" s="19"/>
      <c r="Q119" s="19"/>
      <c r="R119" s="33"/>
      <c r="T119" s="57"/>
      <c r="U119" s="2"/>
      <c r="V119" s="252"/>
      <c r="W119" s="199"/>
      <c r="X119" s="198"/>
      <c r="Y119" s="198"/>
      <c r="Z119" s="198"/>
      <c r="AA119" s="274"/>
      <c r="AB119" s="21"/>
      <c r="AC119" s="21"/>
      <c r="AD119" s="21"/>
      <c r="AE119" s="21"/>
      <c r="AF119" s="70"/>
      <c r="AG119" s="20"/>
      <c r="AH119" s="21"/>
      <c r="AI119" s="21"/>
      <c r="AJ119" s="22"/>
      <c r="AK119" s="29"/>
      <c r="AL119" s="19"/>
      <c r="AM119" s="57"/>
      <c r="AN119" s="2"/>
      <c r="AO119" s="2"/>
      <c r="AP119" s="63"/>
      <c r="AQ119" s="68"/>
      <c r="AR119" s="21"/>
      <c r="AS119" s="21"/>
      <c r="AT119" s="21"/>
      <c r="AU119" s="240"/>
      <c r="AV119" s="19"/>
      <c r="AW119" s="195"/>
      <c r="AX119" s="2"/>
      <c r="AY119" s="238"/>
      <c r="BB119" s="19"/>
      <c r="BC119" s="24"/>
      <c r="BG119" s="147" t="s">
        <v>2</v>
      </c>
      <c r="BH119" s="52">
        <f>Q116/1000</f>
        <v>0</v>
      </c>
      <c r="BI119" s="52">
        <f>AJ116/1000</f>
        <v>0</v>
      </c>
      <c r="BJ119" s="52">
        <f>BB116/1000</f>
        <v>0</v>
      </c>
      <c r="BK119" s="137" t="e">
        <f t="shared" si="11"/>
        <v>#DIV/0!</v>
      </c>
      <c r="BL119" s="52">
        <f t="shared" si="12"/>
        <v>0</v>
      </c>
    </row>
    <row r="120" spans="1:67">
      <c r="A120" s="699"/>
      <c r="B120" s="23"/>
      <c r="C120" s="17" t="s">
        <v>29</v>
      </c>
      <c r="D120" s="57"/>
      <c r="E120" s="2"/>
      <c r="F120" s="2"/>
      <c r="G120" s="63"/>
      <c r="H120" s="2"/>
      <c r="I120" s="20"/>
      <c r="J120" s="21"/>
      <c r="K120" s="21"/>
      <c r="L120" s="22"/>
      <c r="M120" s="2"/>
      <c r="N120" s="23"/>
      <c r="O120" s="19"/>
      <c r="P120" s="19"/>
      <c r="Q120" s="19"/>
      <c r="R120" s="33"/>
      <c r="T120" s="57"/>
      <c r="U120" s="2"/>
      <c r="V120" s="252"/>
      <c r="W120" s="199"/>
      <c r="X120" s="198"/>
      <c r="Y120" s="198"/>
      <c r="Z120" s="198"/>
      <c r="AA120" s="274"/>
      <c r="AB120" s="21"/>
      <c r="AC120" s="21"/>
      <c r="AD120" s="21"/>
      <c r="AE120" s="21"/>
      <c r="AF120" s="70"/>
      <c r="AG120" s="20"/>
      <c r="AH120" s="21"/>
      <c r="AI120" s="21"/>
      <c r="AJ120" s="22"/>
      <c r="AK120" s="29"/>
      <c r="AL120" s="19"/>
      <c r="AM120" s="57"/>
      <c r="AN120" s="2"/>
      <c r="AO120" s="2"/>
      <c r="AP120" s="63"/>
      <c r="AQ120" s="68"/>
      <c r="AR120" s="21"/>
      <c r="AS120" s="21"/>
      <c r="AT120" s="21"/>
      <c r="AU120" s="240"/>
      <c r="AV120" s="19"/>
      <c r="AW120" s="195"/>
      <c r="AX120" s="2"/>
      <c r="AY120" s="238"/>
      <c r="BB120" s="19"/>
      <c r="BC120" s="24"/>
      <c r="BG120" s="147" t="s">
        <v>5</v>
      </c>
      <c r="BH120" s="52">
        <f>Q121/1000</f>
        <v>0</v>
      </c>
      <c r="BI120" s="52">
        <f>AJ121/1000</f>
        <v>0</v>
      </c>
      <c r="BJ120" s="52">
        <f>BB121/1000</f>
        <v>0</v>
      </c>
      <c r="BK120" s="137" t="e">
        <f t="shared" si="11"/>
        <v>#DIV/0!</v>
      </c>
      <c r="BL120" s="52">
        <f t="shared" si="12"/>
        <v>0</v>
      </c>
    </row>
    <row r="121" spans="1:67" s="106" customFormat="1">
      <c r="A121" s="699"/>
      <c r="B121" s="107" t="s">
        <v>67</v>
      </c>
      <c r="C121" s="108"/>
      <c r="D121" s="109"/>
      <c r="E121" s="110"/>
      <c r="F121" s="110"/>
      <c r="G121" s="111"/>
      <c r="H121" s="110"/>
      <c r="I121" s="112"/>
      <c r="J121" s="113"/>
      <c r="K121" s="113"/>
      <c r="L121" s="114"/>
      <c r="M121" s="110"/>
      <c r="N121" s="112"/>
      <c r="O121" s="113"/>
      <c r="P121" s="113"/>
      <c r="Q121" s="114"/>
      <c r="R121" s="115"/>
      <c r="T121" s="109"/>
      <c r="U121" s="110"/>
      <c r="V121" s="110"/>
      <c r="W121" s="203"/>
      <c r="X121" s="130"/>
      <c r="Y121" s="130"/>
      <c r="Z121" s="130"/>
      <c r="AA121" s="276"/>
      <c r="AB121" s="113"/>
      <c r="AC121" s="113"/>
      <c r="AD121" s="113"/>
      <c r="AE121" s="113"/>
      <c r="AF121" s="117"/>
      <c r="AG121" s="112"/>
      <c r="AH121" s="113"/>
      <c r="AI121" s="113"/>
      <c r="AJ121" s="114"/>
      <c r="AK121" s="118"/>
      <c r="AL121" s="119"/>
      <c r="AM121" s="109"/>
      <c r="AN121" s="110"/>
      <c r="AO121" s="110"/>
      <c r="AP121" s="111"/>
      <c r="AQ121" s="117"/>
      <c r="AR121" s="113"/>
      <c r="AS121" s="123"/>
      <c r="AT121" s="113"/>
      <c r="AU121" s="120"/>
      <c r="AV121" s="113"/>
      <c r="AW121" s="114"/>
      <c r="AX121" s="110"/>
      <c r="AY121" s="241"/>
      <c r="AZ121" s="242"/>
      <c r="BA121" s="242"/>
      <c r="BB121" s="114"/>
      <c r="BC121" s="118"/>
      <c r="BD121" s="122"/>
      <c r="BG121" s="147" t="s">
        <v>6</v>
      </c>
      <c r="BH121" s="52">
        <f>Q131/1000</f>
        <v>0</v>
      </c>
      <c r="BI121" s="52">
        <f>AJ131/1000</f>
        <v>0</v>
      </c>
      <c r="BJ121" s="52">
        <f>BB131/1000</f>
        <v>0</v>
      </c>
      <c r="BK121" s="137" t="e">
        <f t="shared" si="11"/>
        <v>#DIV/0!</v>
      </c>
      <c r="BL121" s="52">
        <f t="shared" si="12"/>
        <v>0</v>
      </c>
      <c r="BM121" s="6"/>
      <c r="BN121" s="6"/>
      <c r="BO121" s="6"/>
    </row>
    <row r="122" spans="1:67">
      <c r="A122" s="699"/>
      <c r="B122" s="23" t="s">
        <v>6</v>
      </c>
      <c r="C122" s="17" t="s">
        <v>30</v>
      </c>
      <c r="D122" s="57"/>
      <c r="E122" s="2"/>
      <c r="F122" s="2"/>
      <c r="G122" s="63"/>
      <c r="H122" s="2"/>
      <c r="I122" s="20"/>
      <c r="J122" s="21"/>
      <c r="K122" s="21"/>
      <c r="L122" s="22"/>
      <c r="M122" s="2"/>
      <c r="N122" s="23"/>
      <c r="O122" s="19"/>
      <c r="P122" s="19"/>
      <c r="Q122" s="19"/>
      <c r="R122" s="33"/>
      <c r="T122" s="57"/>
      <c r="U122" s="2"/>
      <c r="V122" s="2"/>
      <c r="W122" s="199"/>
      <c r="X122" s="198"/>
      <c r="Y122" s="198"/>
      <c r="Z122" s="198"/>
      <c r="AA122" s="274"/>
      <c r="AB122" s="21"/>
      <c r="AC122" s="21"/>
      <c r="AD122" s="21"/>
      <c r="AE122" s="21"/>
      <c r="AF122" s="70"/>
      <c r="AG122" s="20"/>
      <c r="AH122" s="21"/>
      <c r="AI122" s="21"/>
      <c r="AJ122" s="22"/>
      <c r="AK122" s="29"/>
      <c r="AL122" s="19"/>
      <c r="AM122" s="57"/>
      <c r="AN122" s="2"/>
      <c r="AO122" s="2"/>
      <c r="AP122" s="63"/>
      <c r="AQ122" s="68"/>
      <c r="AR122" s="21"/>
      <c r="AS122" s="21"/>
      <c r="AT122" s="21"/>
      <c r="AU122" s="240"/>
      <c r="AV122" s="19"/>
      <c r="AW122" s="195"/>
      <c r="AX122" s="2"/>
      <c r="AY122" s="238"/>
      <c r="BB122" s="19"/>
      <c r="BC122" s="24"/>
      <c r="BG122" s="147" t="s">
        <v>8</v>
      </c>
      <c r="BH122" s="52">
        <f>Q132/1000</f>
        <v>0</v>
      </c>
      <c r="BI122" s="52">
        <f>AJ132/1000</f>
        <v>0</v>
      </c>
      <c r="BJ122" s="52">
        <f>BB132/1000</f>
        <v>0</v>
      </c>
      <c r="BK122" s="137" t="e">
        <f t="shared" si="11"/>
        <v>#DIV/0!</v>
      </c>
      <c r="BL122" s="52">
        <f t="shared" si="12"/>
        <v>0</v>
      </c>
    </row>
    <row r="123" spans="1:67">
      <c r="A123" s="699"/>
      <c r="B123" s="23"/>
      <c r="C123" s="17" t="s">
        <v>31</v>
      </c>
      <c r="D123" s="57"/>
      <c r="E123" s="2"/>
      <c r="F123" s="2"/>
      <c r="G123" s="63"/>
      <c r="H123" s="2"/>
      <c r="I123" s="20"/>
      <c r="J123" s="21"/>
      <c r="K123" s="21"/>
      <c r="L123" s="22"/>
      <c r="M123" s="2"/>
      <c r="N123" s="23"/>
      <c r="O123" s="19"/>
      <c r="P123" s="19"/>
      <c r="Q123" s="19"/>
      <c r="R123" s="33"/>
      <c r="T123" s="57"/>
      <c r="U123" s="2"/>
      <c r="V123" s="2"/>
      <c r="W123" s="199"/>
      <c r="X123" s="198"/>
      <c r="Y123" s="198"/>
      <c r="Z123" s="198"/>
      <c r="AA123" s="274"/>
      <c r="AB123" s="21"/>
      <c r="AC123" s="21"/>
      <c r="AD123" s="21"/>
      <c r="AE123" s="21"/>
      <c r="AF123" s="70"/>
      <c r="AG123" s="20"/>
      <c r="AH123" s="21"/>
      <c r="AI123" s="21"/>
      <c r="AJ123" s="22"/>
      <c r="AK123" s="29"/>
      <c r="AL123" s="19"/>
      <c r="AM123" s="57"/>
      <c r="AN123" s="2"/>
      <c r="AO123" s="2"/>
      <c r="AP123" s="63"/>
      <c r="AQ123" s="68"/>
      <c r="AR123" s="21"/>
      <c r="AS123" s="21"/>
      <c r="AT123" s="21"/>
      <c r="AU123" s="240"/>
      <c r="AV123" s="19"/>
      <c r="AW123" s="195"/>
      <c r="AX123" s="2"/>
      <c r="AY123" s="238"/>
      <c r="BB123" s="19"/>
      <c r="BC123" s="24"/>
      <c r="BG123" s="147" t="s">
        <v>7</v>
      </c>
      <c r="BH123" s="52">
        <f>Q135/1000</f>
        <v>0</v>
      </c>
      <c r="BI123" s="52">
        <f>AJ135/1000</f>
        <v>0</v>
      </c>
      <c r="BJ123" s="52">
        <f>BB135/1000</f>
        <v>0</v>
      </c>
      <c r="BK123" s="137" t="e">
        <f t="shared" si="11"/>
        <v>#DIV/0!</v>
      </c>
      <c r="BL123" s="52">
        <f t="shared" si="12"/>
        <v>0</v>
      </c>
    </row>
    <row r="124" spans="1:67">
      <c r="A124" s="699"/>
      <c r="B124" s="23"/>
      <c r="C124" s="17" t="s">
        <v>32</v>
      </c>
      <c r="D124" s="57"/>
      <c r="E124" s="2"/>
      <c r="F124" s="2"/>
      <c r="G124" s="63"/>
      <c r="H124" s="2"/>
      <c r="I124" s="20"/>
      <c r="J124" s="21"/>
      <c r="K124" s="21"/>
      <c r="L124" s="22"/>
      <c r="M124" s="2"/>
      <c r="N124" s="23"/>
      <c r="O124" s="19"/>
      <c r="P124" s="19"/>
      <c r="Q124" s="19"/>
      <c r="R124" s="33"/>
      <c r="T124" s="57"/>
      <c r="U124" s="2"/>
      <c r="V124" s="2"/>
      <c r="W124" s="199"/>
      <c r="X124" s="198"/>
      <c r="Y124" s="198"/>
      <c r="Z124" s="198"/>
      <c r="AA124" s="274"/>
      <c r="AB124" s="21"/>
      <c r="AC124" s="21"/>
      <c r="AD124" s="21"/>
      <c r="AE124" s="21"/>
      <c r="AF124" s="70"/>
      <c r="AG124" s="20"/>
      <c r="AH124" s="21"/>
      <c r="AI124" s="21"/>
      <c r="AJ124" s="22"/>
      <c r="AK124" s="29"/>
      <c r="AL124" s="19"/>
      <c r="AM124" s="57"/>
      <c r="AN124" s="2"/>
      <c r="AO124" s="2"/>
      <c r="AP124" s="63"/>
      <c r="AQ124" s="68"/>
      <c r="AR124" s="21"/>
      <c r="AS124" s="21"/>
      <c r="AT124" s="21"/>
      <c r="AU124" s="240"/>
      <c r="AV124" s="19"/>
      <c r="AW124" s="195"/>
      <c r="AX124" s="2"/>
      <c r="AY124" s="238"/>
      <c r="BB124" s="19"/>
      <c r="BC124" s="24"/>
      <c r="BG124" s="147" t="s">
        <v>11</v>
      </c>
      <c r="BH124" s="52">
        <f>Q140/1000</f>
        <v>0</v>
      </c>
      <c r="BI124" s="52">
        <f>AJ140/1000</f>
        <v>0</v>
      </c>
      <c r="BJ124" s="52">
        <f>BB140/1000</f>
        <v>0</v>
      </c>
      <c r="BK124" s="137" t="e">
        <f t="shared" si="11"/>
        <v>#DIV/0!</v>
      </c>
      <c r="BL124" s="52">
        <f t="shared" si="12"/>
        <v>0</v>
      </c>
    </row>
    <row r="125" spans="1:67" s="90" customFormat="1">
      <c r="A125" s="699"/>
      <c r="B125" s="91" t="s">
        <v>42</v>
      </c>
      <c r="C125" s="92"/>
      <c r="D125" s="93"/>
      <c r="E125" s="94"/>
      <c r="F125" s="94"/>
      <c r="G125" s="95"/>
      <c r="H125" s="94"/>
      <c r="I125" s="96"/>
      <c r="J125" s="97"/>
      <c r="K125" s="97"/>
      <c r="L125" s="98"/>
      <c r="M125" s="94"/>
      <c r="N125" s="96"/>
      <c r="O125" s="97"/>
      <c r="P125" s="97"/>
      <c r="Q125" s="97"/>
      <c r="R125" s="99"/>
      <c r="T125" s="93"/>
      <c r="U125" s="94"/>
      <c r="V125" s="94"/>
      <c r="W125" s="211"/>
      <c r="X125" s="289"/>
      <c r="Y125" s="289"/>
      <c r="Z125" s="289"/>
      <c r="AA125" s="280"/>
      <c r="AB125" s="97"/>
      <c r="AC125" s="97"/>
      <c r="AD125" s="97"/>
      <c r="AE125" s="97"/>
      <c r="AF125" s="101"/>
      <c r="AG125" s="96"/>
      <c r="AH125" s="97"/>
      <c r="AI125" s="97"/>
      <c r="AJ125" s="98"/>
      <c r="AK125" s="102"/>
      <c r="AL125" s="103"/>
      <c r="AM125" s="93"/>
      <c r="AN125" s="94"/>
      <c r="AO125" s="94"/>
      <c r="AP125" s="95"/>
      <c r="AQ125" s="100"/>
      <c r="AR125" s="97"/>
      <c r="AS125" s="128"/>
      <c r="AT125" s="128"/>
      <c r="AU125" s="104"/>
      <c r="AV125" s="97"/>
      <c r="AW125" s="98"/>
      <c r="AX125" s="94"/>
      <c r="AY125" s="239"/>
      <c r="BB125" s="97"/>
      <c r="BC125" s="105"/>
      <c r="BG125" s="147" t="s">
        <v>1</v>
      </c>
      <c r="BH125" s="52">
        <f>Q141/1000</f>
        <v>0</v>
      </c>
      <c r="BI125" s="52">
        <f>AJ141/1000</f>
        <v>0</v>
      </c>
      <c r="BJ125" s="52">
        <f>BB141/1000</f>
        <v>0</v>
      </c>
      <c r="BK125" s="137" t="e">
        <f t="shared" si="11"/>
        <v>#DIV/0!</v>
      </c>
      <c r="BL125" s="52">
        <f t="shared" si="12"/>
        <v>0</v>
      </c>
      <c r="BM125" s="6"/>
      <c r="BN125" s="6"/>
      <c r="BO125" s="6"/>
    </row>
    <row r="126" spans="1:67">
      <c r="A126" s="699"/>
      <c r="B126" s="23"/>
      <c r="C126" s="17" t="s">
        <v>33</v>
      </c>
      <c r="D126" s="57"/>
      <c r="E126" s="2"/>
      <c r="F126" s="2"/>
      <c r="G126" s="63"/>
      <c r="H126" s="2"/>
      <c r="I126" s="20"/>
      <c r="J126" s="21"/>
      <c r="K126" s="21"/>
      <c r="L126" s="22"/>
      <c r="M126" s="2"/>
      <c r="N126" s="23"/>
      <c r="O126" s="19"/>
      <c r="P126" s="19"/>
      <c r="Q126" s="19"/>
      <c r="R126" s="33"/>
      <c r="T126" s="57"/>
      <c r="U126" s="2"/>
      <c r="V126" s="2"/>
      <c r="W126" s="199"/>
      <c r="X126" s="198"/>
      <c r="Y126" s="198"/>
      <c r="Z126" s="198"/>
      <c r="AA126" s="274"/>
      <c r="AB126" s="21"/>
      <c r="AC126" s="21"/>
      <c r="AD126" s="21"/>
      <c r="AE126" s="21"/>
      <c r="AF126" s="70"/>
      <c r="AG126" s="20"/>
      <c r="AH126" s="21"/>
      <c r="AI126" s="21"/>
      <c r="AJ126" s="22"/>
      <c r="AK126" s="29"/>
      <c r="AL126" s="19"/>
      <c r="AM126" s="57"/>
      <c r="AN126" s="2"/>
      <c r="AO126" s="2"/>
      <c r="AP126" s="63"/>
      <c r="AQ126" s="68"/>
      <c r="AR126" s="21"/>
      <c r="AS126" s="21"/>
      <c r="AT126" s="21"/>
      <c r="AU126" s="240"/>
      <c r="AV126" s="19"/>
      <c r="AW126" s="195"/>
      <c r="AX126" s="2"/>
      <c r="AY126" s="238"/>
      <c r="BB126" s="19"/>
      <c r="BC126" s="24"/>
      <c r="BG126" s="142"/>
    </row>
    <row r="127" spans="1:67">
      <c r="A127" s="699"/>
      <c r="B127" s="23"/>
      <c r="C127" s="17" t="s">
        <v>34</v>
      </c>
      <c r="D127" s="57"/>
      <c r="E127" s="2"/>
      <c r="F127" s="2"/>
      <c r="G127" s="63"/>
      <c r="H127" s="2"/>
      <c r="I127" s="20"/>
      <c r="J127" s="21"/>
      <c r="K127" s="21"/>
      <c r="L127" s="22"/>
      <c r="M127" s="2"/>
      <c r="N127" s="23"/>
      <c r="O127" s="19"/>
      <c r="P127" s="19"/>
      <c r="Q127" s="19"/>
      <c r="R127" s="33"/>
      <c r="T127" s="57"/>
      <c r="U127" s="2"/>
      <c r="V127" s="2"/>
      <c r="W127" s="199"/>
      <c r="X127" s="198"/>
      <c r="Y127" s="198"/>
      <c r="Z127" s="198"/>
      <c r="AA127" s="274"/>
      <c r="AB127" s="21"/>
      <c r="AC127" s="21"/>
      <c r="AD127" s="21"/>
      <c r="AE127" s="21"/>
      <c r="AF127" s="70"/>
      <c r="AG127" s="20"/>
      <c r="AH127" s="21"/>
      <c r="AI127" s="21"/>
      <c r="AJ127" s="22"/>
      <c r="AK127" s="29"/>
      <c r="AL127" s="19"/>
      <c r="AM127" s="57"/>
      <c r="AN127" s="2"/>
      <c r="AO127" s="2"/>
      <c r="AP127" s="63"/>
      <c r="AQ127" s="68"/>
      <c r="AR127" s="21"/>
      <c r="AS127" s="21"/>
      <c r="AT127" s="21"/>
      <c r="AU127" s="240"/>
      <c r="AV127" s="19"/>
      <c r="AW127" s="195"/>
      <c r="AX127" s="2"/>
      <c r="AY127" s="238"/>
      <c r="BB127" s="19"/>
      <c r="BC127" s="24"/>
    </row>
    <row r="128" spans="1:67">
      <c r="A128" s="699"/>
      <c r="B128" s="23"/>
      <c r="C128" s="17" t="s">
        <v>35</v>
      </c>
      <c r="D128" s="57"/>
      <c r="E128" s="2"/>
      <c r="F128" s="2"/>
      <c r="G128" s="63"/>
      <c r="H128" s="2"/>
      <c r="I128" s="20"/>
      <c r="J128" s="21"/>
      <c r="K128" s="21"/>
      <c r="L128" s="22"/>
      <c r="M128" s="2"/>
      <c r="N128" s="23"/>
      <c r="O128" s="19"/>
      <c r="P128" s="19"/>
      <c r="Q128" s="19"/>
      <c r="R128" s="33"/>
      <c r="T128" s="57"/>
      <c r="U128" s="2"/>
      <c r="V128" s="2"/>
      <c r="W128" s="199"/>
      <c r="X128" s="198"/>
      <c r="Y128" s="198"/>
      <c r="Z128" s="198"/>
      <c r="AA128" s="274"/>
      <c r="AB128" s="21"/>
      <c r="AC128" s="21"/>
      <c r="AD128" s="21"/>
      <c r="AE128" s="21"/>
      <c r="AF128" s="70"/>
      <c r="AG128" s="20"/>
      <c r="AH128" s="21"/>
      <c r="AI128" s="21"/>
      <c r="AJ128" s="22"/>
      <c r="AK128" s="29"/>
      <c r="AL128" s="19"/>
      <c r="AM128" s="57"/>
      <c r="AN128" s="2"/>
      <c r="AO128" s="2"/>
      <c r="AP128" s="63"/>
      <c r="AQ128" s="68"/>
      <c r="AR128" s="21"/>
      <c r="AS128" s="21"/>
      <c r="AT128" s="21"/>
      <c r="AU128" s="240"/>
      <c r="AV128" s="19"/>
      <c r="AW128" s="195"/>
      <c r="AX128" s="2"/>
      <c r="AY128" s="238"/>
      <c r="BB128" s="19"/>
      <c r="BC128" s="24"/>
    </row>
    <row r="129" spans="1:59">
      <c r="A129" s="699"/>
      <c r="B129" s="23"/>
      <c r="C129" s="17" t="s">
        <v>36</v>
      </c>
      <c r="D129" s="57"/>
      <c r="E129" s="2"/>
      <c r="F129" s="2"/>
      <c r="G129" s="63"/>
      <c r="H129" s="2"/>
      <c r="I129" s="20"/>
      <c r="J129" s="21"/>
      <c r="K129" s="21"/>
      <c r="L129" s="22"/>
      <c r="M129" s="2"/>
      <c r="N129" s="23"/>
      <c r="O129" s="19"/>
      <c r="P129" s="19"/>
      <c r="Q129" s="19"/>
      <c r="R129" s="33"/>
      <c r="T129" s="57"/>
      <c r="U129" s="2"/>
      <c r="V129" s="2"/>
      <c r="W129" s="199"/>
      <c r="X129" s="198"/>
      <c r="Y129" s="198"/>
      <c r="Z129" s="198"/>
      <c r="AA129" s="274"/>
      <c r="AB129" s="21"/>
      <c r="AC129" s="21"/>
      <c r="AD129" s="21"/>
      <c r="AE129" s="21"/>
      <c r="AF129" s="70"/>
      <c r="AG129" s="20"/>
      <c r="AH129" s="21"/>
      <c r="AI129" s="21"/>
      <c r="AJ129" s="22"/>
      <c r="AK129" s="29"/>
      <c r="AL129" s="19"/>
      <c r="AM129" s="57"/>
      <c r="AN129" s="2"/>
      <c r="AO129" s="2"/>
      <c r="AP129" s="63"/>
      <c r="AQ129" s="68"/>
      <c r="AR129" s="21"/>
      <c r="AS129" s="21"/>
      <c r="AT129" s="21"/>
      <c r="AU129" s="240"/>
      <c r="AV129" s="19"/>
      <c r="AW129" s="195"/>
      <c r="AX129" s="2"/>
      <c r="AY129" s="238"/>
      <c r="BB129" s="19"/>
      <c r="BC129" s="24"/>
    </row>
    <row r="130" spans="1:59" s="90" customFormat="1">
      <c r="A130" s="699"/>
      <c r="B130" s="91" t="s">
        <v>43</v>
      </c>
      <c r="C130" s="92"/>
      <c r="D130" s="93"/>
      <c r="E130" s="94"/>
      <c r="F130" s="94"/>
      <c r="G130" s="95"/>
      <c r="H130" s="94"/>
      <c r="I130" s="96"/>
      <c r="J130" s="97"/>
      <c r="K130" s="97"/>
      <c r="L130" s="98"/>
      <c r="M130" s="94"/>
      <c r="N130" s="96"/>
      <c r="O130" s="97"/>
      <c r="P130" s="97"/>
      <c r="Q130" s="97"/>
      <c r="R130" s="99"/>
      <c r="T130" s="93"/>
      <c r="U130" s="94"/>
      <c r="V130" s="94"/>
      <c r="W130" s="211"/>
      <c r="X130" s="289"/>
      <c r="Y130" s="289"/>
      <c r="Z130" s="289"/>
      <c r="AA130" s="280"/>
      <c r="AB130" s="97"/>
      <c r="AC130" s="97"/>
      <c r="AD130" s="97"/>
      <c r="AE130" s="97"/>
      <c r="AF130" s="101"/>
      <c r="AG130" s="96"/>
      <c r="AH130" s="97"/>
      <c r="AI130" s="97"/>
      <c r="AJ130" s="98"/>
      <c r="AK130" s="102"/>
      <c r="AL130" s="103"/>
      <c r="AM130" s="93"/>
      <c r="AN130" s="94"/>
      <c r="AO130" s="94"/>
      <c r="AP130" s="95"/>
      <c r="AQ130" s="100"/>
      <c r="AR130" s="97"/>
      <c r="AS130" s="97"/>
      <c r="AT130" s="97"/>
      <c r="AU130" s="104"/>
      <c r="AV130" s="97"/>
      <c r="AW130" s="98"/>
      <c r="AX130" s="94"/>
      <c r="AY130" s="239"/>
      <c r="BB130" s="97"/>
      <c r="BC130" s="105"/>
      <c r="BG130" s="143"/>
    </row>
    <row r="131" spans="1:59" s="106" customFormat="1">
      <c r="A131" s="699"/>
      <c r="B131" s="107" t="s">
        <v>67</v>
      </c>
      <c r="C131" s="108"/>
      <c r="D131" s="109"/>
      <c r="E131" s="110"/>
      <c r="F131" s="110"/>
      <c r="G131" s="111"/>
      <c r="H131" s="110"/>
      <c r="I131" s="112"/>
      <c r="J131" s="113"/>
      <c r="K131" s="113"/>
      <c r="L131" s="114"/>
      <c r="M131" s="110"/>
      <c r="N131" s="112"/>
      <c r="O131" s="113"/>
      <c r="P131" s="113"/>
      <c r="Q131" s="114"/>
      <c r="R131" s="115"/>
      <c r="T131" s="202"/>
      <c r="U131" s="130"/>
      <c r="V131" s="130"/>
      <c r="W131" s="203"/>
      <c r="X131" s="130"/>
      <c r="Y131" s="130"/>
      <c r="Z131" s="130"/>
      <c r="AA131" s="276"/>
      <c r="AB131" s="113"/>
      <c r="AC131" s="113"/>
      <c r="AD131" s="113"/>
      <c r="AE131" s="113"/>
      <c r="AF131" s="117"/>
      <c r="AG131" s="112"/>
      <c r="AH131" s="113"/>
      <c r="AI131" s="113"/>
      <c r="AJ131" s="114"/>
      <c r="AK131" s="115"/>
      <c r="AL131" s="119"/>
      <c r="AM131" s="109"/>
      <c r="AN131" s="110"/>
      <c r="AO131" s="110"/>
      <c r="AP131" s="111"/>
      <c r="AQ131" s="116"/>
      <c r="AR131" s="113"/>
      <c r="AS131" s="113"/>
      <c r="AT131" s="113"/>
      <c r="AU131" s="120"/>
      <c r="AV131" s="113"/>
      <c r="AW131" s="114"/>
      <c r="AX131" s="110"/>
      <c r="AY131" s="237"/>
      <c r="BB131" s="113"/>
      <c r="BC131" s="118"/>
      <c r="BG131" s="144"/>
    </row>
    <row r="132" spans="1:59" s="106" customFormat="1">
      <c r="A132" s="699"/>
      <c r="B132" s="37" t="s">
        <v>8</v>
      </c>
      <c r="C132" s="129" t="s">
        <v>8</v>
      </c>
      <c r="D132" s="109"/>
      <c r="E132" s="110"/>
      <c r="F132" s="110"/>
      <c r="G132" s="111"/>
      <c r="H132" s="110"/>
      <c r="I132" s="112"/>
      <c r="J132" s="113"/>
      <c r="K132" s="113"/>
      <c r="L132" s="114"/>
      <c r="M132" s="110"/>
      <c r="N132" s="112"/>
      <c r="O132" s="113"/>
      <c r="P132" s="113"/>
      <c r="Q132" s="114"/>
      <c r="R132" s="115"/>
      <c r="T132" s="109"/>
      <c r="U132" s="110"/>
      <c r="V132" s="253"/>
      <c r="W132" s="199"/>
      <c r="X132" s="198"/>
      <c r="Y132" s="198"/>
      <c r="Z132" s="198"/>
      <c r="AA132" s="276"/>
      <c r="AB132" s="113"/>
      <c r="AC132" s="113"/>
      <c r="AD132" s="113"/>
      <c r="AE132" s="113"/>
      <c r="AF132" s="117"/>
      <c r="AG132" s="112"/>
      <c r="AH132" s="113"/>
      <c r="AI132" s="113"/>
      <c r="AJ132" s="114"/>
      <c r="AK132" s="118"/>
      <c r="AL132" s="119"/>
      <c r="AM132" s="109"/>
      <c r="AN132" s="110"/>
      <c r="AO132" s="110"/>
      <c r="AP132" s="111"/>
      <c r="AQ132" s="116"/>
      <c r="AR132" s="113"/>
      <c r="AS132" s="113"/>
      <c r="AT132" s="113"/>
      <c r="AU132" s="120"/>
      <c r="AV132" s="113"/>
      <c r="AW132" s="114"/>
      <c r="AX132" s="110"/>
      <c r="AY132" s="237"/>
      <c r="BB132" s="113"/>
      <c r="BC132" s="121"/>
      <c r="BG132" s="144"/>
    </row>
    <row r="133" spans="1:59">
      <c r="A133" s="699"/>
      <c r="B133" s="23" t="s">
        <v>7</v>
      </c>
      <c r="C133" s="17" t="s">
        <v>9</v>
      </c>
      <c r="D133" s="57"/>
      <c r="E133" s="2"/>
      <c r="F133" s="2"/>
      <c r="G133" s="63"/>
      <c r="H133" s="2"/>
      <c r="I133" s="20"/>
      <c r="J133" s="21"/>
      <c r="K133" s="21"/>
      <c r="L133" s="22"/>
      <c r="M133" s="2"/>
      <c r="N133" s="20"/>
      <c r="O133" s="21"/>
      <c r="P133" s="21"/>
      <c r="Q133" s="22"/>
      <c r="R133" s="34"/>
      <c r="T133" s="57"/>
      <c r="U133" s="2"/>
      <c r="V133" s="252"/>
      <c r="W133" s="199"/>
      <c r="X133" s="198"/>
      <c r="Y133" s="198"/>
      <c r="Z133" s="198"/>
      <c r="AA133" s="274"/>
      <c r="AB133" s="21"/>
      <c r="AC133" s="21"/>
      <c r="AD133" s="21"/>
      <c r="AE133" s="21"/>
      <c r="AF133" s="70"/>
      <c r="AG133" s="20"/>
      <c r="AH133" s="21"/>
      <c r="AI133" s="21"/>
      <c r="AJ133" s="22"/>
      <c r="AK133" s="29"/>
      <c r="AL133" s="19"/>
      <c r="AM133" s="57"/>
      <c r="AN133" s="2"/>
      <c r="AO133" s="2"/>
      <c r="AP133" s="63"/>
      <c r="AQ133" s="68"/>
      <c r="AR133" s="21"/>
      <c r="AS133" s="35"/>
      <c r="AT133" s="21"/>
      <c r="AU133" s="25"/>
      <c r="AV133" s="21"/>
      <c r="AW133" s="22"/>
      <c r="AX133" s="2"/>
      <c r="AY133" s="238"/>
      <c r="BB133" s="21"/>
      <c r="BC133" s="29"/>
    </row>
    <row r="134" spans="1:59">
      <c r="A134" s="699"/>
      <c r="B134" s="23"/>
      <c r="C134" s="17" t="s">
        <v>10</v>
      </c>
      <c r="D134" s="57"/>
      <c r="E134" s="2"/>
      <c r="F134" s="2"/>
      <c r="G134" s="63"/>
      <c r="H134" s="2"/>
      <c r="I134" s="20"/>
      <c r="J134" s="21"/>
      <c r="K134" s="21"/>
      <c r="L134" s="22"/>
      <c r="M134" s="2"/>
      <c r="N134" s="20"/>
      <c r="O134" s="21"/>
      <c r="P134" s="21"/>
      <c r="Q134" s="22"/>
      <c r="R134" s="33"/>
      <c r="T134" s="57"/>
      <c r="U134" s="2"/>
      <c r="V134" s="252"/>
      <c r="W134" s="199"/>
      <c r="X134" s="198"/>
      <c r="Y134" s="198"/>
      <c r="Z134" s="198"/>
      <c r="AA134" s="274"/>
      <c r="AB134" s="21"/>
      <c r="AC134" s="21"/>
      <c r="AD134" s="21"/>
      <c r="AE134" s="21"/>
      <c r="AF134" s="70"/>
      <c r="AG134" s="20"/>
      <c r="AH134" s="21"/>
      <c r="AI134" s="21"/>
      <c r="AJ134" s="22"/>
      <c r="AK134" s="29"/>
      <c r="AL134" s="19"/>
      <c r="AM134" s="57"/>
      <c r="AN134" s="2"/>
      <c r="AO134" s="2"/>
      <c r="AP134" s="63"/>
      <c r="AQ134" s="68"/>
      <c r="AR134" s="21"/>
      <c r="AS134" s="21"/>
      <c r="AT134" s="21"/>
      <c r="AU134" s="240"/>
      <c r="AV134" s="21"/>
      <c r="AW134" s="195"/>
      <c r="AX134" s="2"/>
      <c r="AY134" s="238"/>
      <c r="BB134" s="21"/>
      <c r="BC134" s="29"/>
    </row>
    <row r="135" spans="1:59" s="106" customFormat="1">
      <c r="A135" s="699"/>
      <c r="B135" s="107" t="s">
        <v>67</v>
      </c>
      <c r="C135" s="108"/>
      <c r="D135" s="109"/>
      <c r="E135" s="110"/>
      <c r="F135" s="110"/>
      <c r="G135" s="111"/>
      <c r="H135" s="110"/>
      <c r="I135" s="112"/>
      <c r="J135" s="113"/>
      <c r="K135" s="113"/>
      <c r="L135" s="114"/>
      <c r="M135" s="110"/>
      <c r="N135" s="112"/>
      <c r="O135" s="113"/>
      <c r="P135" s="113"/>
      <c r="Q135" s="114"/>
      <c r="R135" s="115"/>
      <c r="T135" s="109"/>
      <c r="U135" s="110"/>
      <c r="V135" s="110"/>
      <c r="W135" s="203"/>
      <c r="X135" s="130"/>
      <c r="Y135" s="130"/>
      <c r="Z135" s="130"/>
      <c r="AA135" s="276"/>
      <c r="AB135" s="113"/>
      <c r="AC135" s="113"/>
      <c r="AD135" s="113"/>
      <c r="AE135" s="113"/>
      <c r="AF135" s="117"/>
      <c r="AG135" s="112"/>
      <c r="AH135" s="113"/>
      <c r="AI135" s="113"/>
      <c r="AJ135" s="114"/>
      <c r="AK135" s="118"/>
      <c r="AL135" s="119"/>
      <c r="AM135" s="109"/>
      <c r="AN135" s="110"/>
      <c r="AO135" s="110"/>
      <c r="AP135" s="111"/>
      <c r="AQ135" s="116"/>
      <c r="AR135" s="113"/>
      <c r="AS135" s="113"/>
      <c r="AT135" s="113"/>
      <c r="AU135" s="120"/>
      <c r="AV135" s="113"/>
      <c r="AW135" s="114"/>
      <c r="AX135" s="110"/>
      <c r="AY135" s="241"/>
      <c r="AZ135" s="242"/>
      <c r="BA135" s="242"/>
      <c r="BB135" s="114"/>
      <c r="BC135" s="118"/>
      <c r="BD135" s="122"/>
      <c r="BG135" s="144"/>
    </row>
    <row r="136" spans="1:59">
      <c r="A136" s="699"/>
      <c r="B136" s="23" t="s">
        <v>11</v>
      </c>
      <c r="C136" s="17" t="s">
        <v>12</v>
      </c>
      <c r="D136" s="57"/>
      <c r="E136" s="2"/>
      <c r="F136" s="2"/>
      <c r="G136" s="63"/>
      <c r="H136" s="2"/>
      <c r="I136" s="20"/>
      <c r="J136" s="21"/>
      <c r="K136" s="21"/>
      <c r="L136" s="22"/>
      <c r="M136" s="2"/>
      <c r="N136" s="20"/>
      <c r="O136" s="21"/>
      <c r="P136" s="21"/>
      <c r="Q136" s="22"/>
      <c r="R136" s="33"/>
      <c r="T136" s="57"/>
      <c r="U136" s="2"/>
      <c r="V136" s="2"/>
      <c r="W136" s="199"/>
      <c r="X136" s="198"/>
      <c r="Y136" s="198"/>
      <c r="Z136" s="198"/>
      <c r="AA136" s="274"/>
      <c r="AB136" s="21"/>
      <c r="AC136" s="21"/>
      <c r="AD136" s="21"/>
      <c r="AE136" s="21"/>
      <c r="AF136" s="70"/>
      <c r="AG136" s="20"/>
      <c r="AH136" s="21"/>
      <c r="AI136" s="21"/>
      <c r="AJ136" s="22"/>
      <c r="AK136" s="29"/>
      <c r="AL136" s="19"/>
      <c r="AM136" s="57"/>
      <c r="AN136" s="2"/>
      <c r="AO136" s="2"/>
      <c r="AP136" s="63"/>
      <c r="AQ136" s="68"/>
      <c r="AR136" s="21"/>
      <c r="AS136" s="21"/>
      <c r="AT136" s="21"/>
      <c r="AU136" s="25"/>
      <c r="AV136" s="21"/>
      <c r="AW136" s="22"/>
      <c r="AX136" s="2"/>
      <c r="AY136" s="23"/>
      <c r="AZ136" s="19"/>
      <c r="BA136" s="19"/>
      <c r="BB136" s="19"/>
      <c r="BC136" s="24"/>
    </row>
    <row r="137" spans="1:59">
      <c r="A137" s="699"/>
      <c r="B137" s="23"/>
      <c r="C137" s="17" t="s">
        <v>13</v>
      </c>
      <c r="D137" s="57"/>
      <c r="E137" s="2"/>
      <c r="F137" s="2"/>
      <c r="G137" s="156"/>
      <c r="H137" s="3"/>
      <c r="I137" s="20"/>
      <c r="J137" s="21"/>
      <c r="K137" s="21"/>
      <c r="L137" s="22"/>
      <c r="M137" s="83"/>
      <c r="N137" s="20"/>
      <c r="O137" s="21"/>
      <c r="P137" s="21"/>
      <c r="Q137" s="22"/>
      <c r="R137" s="34"/>
      <c r="T137" s="57"/>
      <c r="U137" s="2"/>
      <c r="V137" s="2"/>
      <c r="W137" s="199"/>
      <c r="X137" s="198"/>
      <c r="Y137" s="198"/>
      <c r="Z137" s="198"/>
      <c r="AA137" s="282"/>
      <c r="AB137" s="21"/>
      <c r="AC137" s="21"/>
      <c r="AD137" s="21"/>
      <c r="AE137" s="21"/>
      <c r="AF137" s="70"/>
      <c r="AG137" s="20"/>
      <c r="AH137" s="21"/>
      <c r="AI137" s="21"/>
      <c r="AJ137" s="22"/>
      <c r="AK137" s="29"/>
      <c r="AL137" s="19"/>
      <c r="AM137" s="57"/>
      <c r="AN137" s="2"/>
      <c r="AO137" s="2"/>
      <c r="AP137" s="64"/>
      <c r="AQ137" s="69"/>
      <c r="AR137" s="21"/>
      <c r="AS137" s="21"/>
      <c r="AT137" s="21"/>
      <c r="AU137" s="25"/>
      <c r="AV137" s="21"/>
      <c r="AW137" s="22"/>
      <c r="AX137" s="2"/>
      <c r="AY137" s="20"/>
      <c r="AZ137" s="21"/>
      <c r="BA137" s="21"/>
      <c r="BB137" s="21"/>
      <c r="BC137" s="24"/>
    </row>
    <row r="138" spans="1:59">
      <c r="A138" s="699"/>
      <c r="B138" s="23"/>
      <c r="C138" s="17" t="s">
        <v>14</v>
      </c>
      <c r="D138" s="57"/>
      <c r="E138" s="2"/>
      <c r="F138" s="2"/>
      <c r="G138" s="156"/>
      <c r="H138" s="3"/>
      <c r="I138" s="20"/>
      <c r="J138" s="21"/>
      <c r="K138" s="21"/>
      <c r="L138" s="22"/>
      <c r="M138" s="83"/>
      <c r="N138" s="20"/>
      <c r="O138" s="21"/>
      <c r="P138" s="21"/>
      <c r="Q138" s="22"/>
      <c r="R138" s="34"/>
      <c r="T138" s="57"/>
      <c r="U138" s="2"/>
      <c r="V138" s="2"/>
      <c r="W138" s="199"/>
      <c r="X138" s="198"/>
      <c r="Y138" s="198"/>
      <c r="Z138" s="198"/>
      <c r="AA138" s="282"/>
      <c r="AB138" s="21"/>
      <c r="AC138" s="21"/>
      <c r="AD138" s="21"/>
      <c r="AE138" s="21"/>
      <c r="AF138" s="70"/>
      <c r="AG138" s="20"/>
      <c r="AH138" s="21"/>
      <c r="AI138" s="21"/>
      <c r="AJ138" s="22"/>
      <c r="AK138" s="29"/>
      <c r="AL138" s="19"/>
      <c r="AM138" s="57"/>
      <c r="AN138" s="2"/>
      <c r="AO138" s="2"/>
      <c r="AP138" s="64"/>
      <c r="AQ138" s="69"/>
      <c r="AR138" s="21"/>
      <c r="AS138" s="21"/>
      <c r="AT138" s="21"/>
      <c r="AU138" s="25"/>
      <c r="AV138" s="21"/>
      <c r="AW138" s="22"/>
      <c r="AX138" s="2"/>
      <c r="AY138" s="23"/>
      <c r="AZ138" s="19"/>
      <c r="BA138" s="19"/>
      <c r="BB138" s="21"/>
      <c r="BC138" s="24"/>
    </row>
    <row r="139" spans="1:59">
      <c r="A139" s="699"/>
      <c r="B139" s="23"/>
      <c r="C139" s="17" t="s">
        <v>15</v>
      </c>
      <c r="D139" s="57"/>
      <c r="E139" s="2"/>
      <c r="F139" s="2"/>
      <c r="G139" s="156"/>
      <c r="H139" s="3"/>
      <c r="I139" s="20"/>
      <c r="J139" s="21"/>
      <c r="K139" s="21"/>
      <c r="L139" s="22"/>
      <c r="M139" s="83"/>
      <c r="N139" s="20"/>
      <c r="O139" s="21"/>
      <c r="P139" s="21"/>
      <c r="Q139" s="22"/>
      <c r="R139" s="34"/>
      <c r="T139" s="57"/>
      <c r="U139" s="2"/>
      <c r="V139" s="2"/>
      <c r="W139" s="199"/>
      <c r="X139" s="198"/>
      <c r="Y139" s="198"/>
      <c r="Z139" s="198"/>
      <c r="AA139" s="282"/>
      <c r="AB139" s="21"/>
      <c r="AC139" s="21"/>
      <c r="AD139" s="21"/>
      <c r="AE139" s="21"/>
      <c r="AF139" s="70"/>
      <c r="AG139" s="20"/>
      <c r="AH139" s="21"/>
      <c r="AI139" s="21"/>
      <c r="AJ139" s="22"/>
      <c r="AK139" s="29"/>
      <c r="AL139" s="19"/>
      <c r="AM139" s="57"/>
      <c r="AN139" s="2"/>
      <c r="AO139" s="2"/>
      <c r="AP139" s="64"/>
      <c r="AQ139" s="69"/>
      <c r="AR139" s="21"/>
      <c r="AS139" s="21"/>
      <c r="AT139" s="21"/>
      <c r="AU139" s="25"/>
      <c r="AV139" s="21"/>
      <c r="AW139" s="22"/>
      <c r="AX139" s="2"/>
      <c r="AY139" s="23"/>
      <c r="AZ139" s="19"/>
      <c r="BA139" s="19"/>
      <c r="BB139" s="21"/>
      <c r="BC139" s="24"/>
    </row>
    <row r="140" spans="1:59" s="106" customFormat="1">
      <c r="A140" s="699"/>
      <c r="B140" s="107" t="s">
        <v>67</v>
      </c>
      <c r="C140" s="108"/>
      <c r="D140" s="109"/>
      <c r="E140" s="110"/>
      <c r="F140" s="110"/>
      <c r="G140" s="263"/>
      <c r="H140" s="125"/>
      <c r="I140" s="112"/>
      <c r="J140" s="113"/>
      <c r="K140" s="113"/>
      <c r="L140" s="114"/>
      <c r="M140" s="110"/>
      <c r="N140" s="112"/>
      <c r="O140" s="113"/>
      <c r="P140" s="113"/>
      <c r="Q140" s="114"/>
      <c r="R140" s="115"/>
      <c r="T140" s="109"/>
      <c r="U140" s="110"/>
      <c r="V140" s="110"/>
      <c r="W140" s="203"/>
      <c r="X140" s="130"/>
      <c r="Y140" s="130"/>
      <c r="Z140" s="130"/>
      <c r="AA140" s="284"/>
      <c r="AB140" s="113"/>
      <c r="AC140" s="113"/>
      <c r="AD140" s="113"/>
      <c r="AE140" s="113"/>
      <c r="AF140" s="117"/>
      <c r="AG140" s="112"/>
      <c r="AH140" s="113"/>
      <c r="AI140" s="113"/>
      <c r="AJ140" s="114"/>
      <c r="AK140" s="118"/>
      <c r="AL140" s="119"/>
      <c r="AM140" s="109"/>
      <c r="AN140" s="110"/>
      <c r="AO140" s="110"/>
      <c r="AP140" s="124"/>
      <c r="AQ140" s="126"/>
      <c r="AR140" s="113"/>
      <c r="AS140" s="113"/>
      <c r="AT140" s="113"/>
      <c r="AU140" s="120"/>
      <c r="AV140" s="113"/>
      <c r="AW140" s="114"/>
      <c r="AX140" s="110"/>
      <c r="AY140" s="127"/>
      <c r="AZ140" s="119"/>
      <c r="BA140" s="119"/>
      <c r="BB140" s="113"/>
      <c r="BC140" s="121"/>
      <c r="BG140" s="144"/>
    </row>
    <row r="141" spans="1:59" s="106" customFormat="1" ht="13.5" thickBot="1">
      <c r="A141" s="699"/>
      <c r="B141" s="131" t="s">
        <v>37</v>
      </c>
      <c r="C141" s="132" t="s">
        <v>1</v>
      </c>
      <c r="D141" s="109"/>
      <c r="E141" s="110"/>
      <c r="F141" s="110"/>
      <c r="G141" s="203"/>
      <c r="H141" s="130"/>
      <c r="I141" s="112"/>
      <c r="J141" s="113"/>
      <c r="K141" s="113"/>
      <c r="L141" s="114"/>
      <c r="M141" s="110"/>
      <c r="N141" s="127"/>
      <c r="O141" s="119"/>
      <c r="P141" s="119"/>
      <c r="Q141" s="113"/>
      <c r="R141" s="115"/>
      <c r="T141" s="109"/>
      <c r="U141" s="110"/>
      <c r="V141" s="110"/>
      <c r="W141" s="203"/>
      <c r="X141" s="130"/>
      <c r="Y141" s="130"/>
      <c r="Z141" s="130"/>
      <c r="AA141" s="285"/>
      <c r="AB141" s="113"/>
      <c r="AC141" s="113"/>
      <c r="AD141" s="113"/>
      <c r="AE141" s="113"/>
      <c r="AF141" s="117"/>
      <c r="AG141" s="112"/>
      <c r="AH141" s="113"/>
      <c r="AI141" s="113"/>
      <c r="AJ141" s="114"/>
      <c r="AK141" s="115"/>
      <c r="AL141" s="119"/>
      <c r="AM141" s="109"/>
      <c r="AN141" s="110"/>
      <c r="AO141" s="110"/>
      <c r="AP141" s="111"/>
      <c r="AQ141" s="117"/>
      <c r="AR141" s="113"/>
      <c r="AS141" s="113"/>
      <c r="AT141" s="113"/>
      <c r="AU141" s="120"/>
      <c r="AV141" s="113"/>
      <c r="AW141" s="114"/>
      <c r="AX141" s="110"/>
      <c r="AY141" s="127"/>
      <c r="AZ141" s="119"/>
      <c r="BA141" s="119"/>
      <c r="BB141" s="119"/>
      <c r="BC141" s="121"/>
      <c r="BG141" s="144"/>
    </row>
    <row r="142" spans="1:59"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row>
    <row r="143" spans="1:59" ht="13.5" thickBot="1">
      <c r="C143" s="39" t="s">
        <v>38</v>
      </c>
      <c r="D143" s="206"/>
      <c r="E143" s="207"/>
      <c r="F143" s="198"/>
      <c r="G143" s="208"/>
      <c r="H143" s="2"/>
      <c r="I143" s="20"/>
      <c r="J143" s="21"/>
      <c r="K143" s="21"/>
      <c r="L143" s="22"/>
      <c r="M143" s="2"/>
      <c r="N143" s="23"/>
      <c r="O143" s="19"/>
      <c r="P143" s="19"/>
      <c r="Q143" s="19"/>
      <c r="R143" s="24"/>
      <c r="T143" s="58"/>
      <c r="U143" s="59"/>
      <c r="V143" s="2"/>
      <c r="W143" s="208"/>
      <c r="X143" s="198"/>
      <c r="Y143" s="198"/>
      <c r="Z143" s="198"/>
      <c r="AA143" s="274"/>
      <c r="AB143" s="21"/>
      <c r="AC143" s="21"/>
      <c r="AD143" s="21"/>
      <c r="AE143" s="21"/>
      <c r="AF143" s="70"/>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19"/>
      <c r="BC143" s="24"/>
    </row>
    <row r="144" spans="1:59" ht="13.5" thickBot="1">
      <c r="C144" s="135" t="s">
        <v>92</v>
      </c>
      <c r="D144" s="134"/>
      <c r="E144" s="134"/>
      <c r="F144" s="134"/>
      <c r="G144" s="66"/>
      <c r="H144" s="257"/>
      <c r="I144" s="41"/>
      <c r="J144" s="218"/>
      <c r="K144" s="218"/>
      <c r="L144" s="42"/>
      <c r="M144" s="43"/>
      <c r="N144" s="44"/>
      <c r="O144" s="45"/>
      <c r="P144" s="45"/>
      <c r="Q144" s="133"/>
      <c r="R144" s="27"/>
      <c r="T144" s="60"/>
      <c r="U144" s="134"/>
      <c r="V144" s="134"/>
      <c r="W144" s="66"/>
      <c r="X144" s="362"/>
      <c r="Y144" s="362"/>
      <c r="Z144" s="362"/>
      <c r="AA144" s="287"/>
      <c r="AB144" s="45"/>
      <c r="AC144" s="45"/>
      <c r="AD144" s="45"/>
      <c r="AE144" s="45"/>
      <c r="AF144" s="85"/>
      <c r="AG144" s="44"/>
      <c r="AH144" s="45"/>
      <c r="AI144" s="45"/>
      <c r="AJ144" s="354"/>
      <c r="AK144" s="27"/>
      <c r="AL144" s="19"/>
      <c r="AM144" s="60"/>
      <c r="AN144" s="706"/>
      <c r="AO144" s="707"/>
      <c r="AP144" s="66"/>
      <c r="AQ144" s="71"/>
      <c r="AR144" s="45"/>
      <c r="AS144" s="46"/>
      <c r="AT144" s="45"/>
      <c r="AU144" s="47"/>
      <c r="AV144" s="45"/>
      <c r="AW144" s="214"/>
      <c r="AX144" s="43"/>
      <c r="AY144" s="44"/>
      <c r="AZ144" s="45"/>
      <c r="BA144" s="45"/>
      <c r="BB144" s="354"/>
      <c r="BC144" s="27"/>
    </row>
    <row r="145" spans="1:73" ht="13.5" thickBot="1">
      <c r="C145" s="136" t="s">
        <v>65</v>
      </c>
      <c r="Q145" s="49"/>
      <c r="R145" s="50"/>
      <c r="AJ145" s="353"/>
      <c r="AK145" s="216"/>
      <c r="BB145" s="353"/>
      <c r="BC145" s="216"/>
    </row>
    <row r="147" spans="1:73" ht="13.5" thickBot="1">
      <c r="C147" s="89"/>
      <c r="W147" s="215"/>
      <c r="AT147" s="215"/>
      <c r="AU147" s="215"/>
      <c r="AV147" s="215"/>
      <c r="AW147" s="215"/>
    </row>
    <row r="148" spans="1:73">
      <c r="A148" s="699" t="s">
        <v>83</v>
      </c>
      <c r="B148" s="16" t="s">
        <v>3</v>
      </c>
      <c r="C148" s="148" t="s">
        <v>16</v>
      </c>
      <c r="D148" s="55"/>
      <c r="E148" s="56"/>
      <c r="F148" s="56"/>
      <c r="G148" s="149"/>
      <c r="H148" s="150"/>
      <c r="I148" s="151"/>
      <c r="J148" s="26"/>
      <c r="K148" s="26"/>
      <c r="L148" s="133"/>
      <c r="M148" s="56"/>
      <c r="N148" s="16"/>
      <c r="O148" s="18"/>
      <c r="P148" s="18"/>
      <c r="Q148" s="244"/>
      <c r="R148" s="24"/>
      <c r="S148" s="152"/>
      <c r="T148" s="55"/>
      <c r="U148" s="56"/>
      <c r="V148" s="56"/>
      <c r="W148" s="199"/>
      <c r="X148" s="197"/>
      <c r="Y148" s="197"/>
      <c r="Z148" s="197"/>
      <c r="AA148" s="290"/>
      <c r="AB148" s="26"/>
      <c r="AC148" s="26"/>
      <c r="AD148" s="26"/>
      <c r="AE148" s="26"/>
      <c r="AF148" s="84"/>
      <c r="AG148" s="151"/>
      <c r="AH148" s="26"/>
      <c r="AI148" s="26"/>
      <c r="AJ148" s="133"/>
      <c r="AK148" s="27"/>
      <c r="AL148" s="18"/>
      <c r="AM148" s="55"/>
      <c r="AN148" s="56"/>
      <c r="AO148" s="56"/>
      <c r="AP148" s="149"/>
      <c r="AQ148" s="153"/>
      <c r="AR148" s="26"/>
      <c r="AS148" s="26"/>
      <c r="AT148" s="21"/>
      <c r="AU148" s="25"/>
      <c r="AV148" s="21"/>
      <c r="AW148" s="22"/>
      <c r="AX148" s="56"/>
      <c r="AY148" s="16"/>
      <c r="AZ148" s="18"/>
      <c r="BA148" s="18"/>
      <c r="BB148" s="244"/>
      <c r="BC148" s="28"/>
      <c r="BD148" s="8"/>
      <c r="BH148" s="700" t="s">
        <v>86</v>
      </c>
      <c r="BI148" s="701"/>
      <c r="BJ148" s="701"/>
      <c r="BK148" s="701"/>
      <c r="BL148" s="702"/>
      <c r="BM148" s="700" t="s">
        <v>87</v>
      </c>
      <c r="BN148" s="702"/>
      <c r="BP148" s="8"/>
      <c r="BQ148" s="8"/>
      <c r="BR148" s="8"/>
      <c r="BS148" s="8"/>
      <c r="BT148" s="8"/>
      <c r="BU148" s="8"/>
    </row>
    <row r="149" spans="1:73">
      <c r="A149" s="699"/>
      <c r="B149" s="23"/>
      <c r="C149" s="17" t="s">
        <v>17</v>
      </c>
      <c r="D149" s="57"/>
      <c r="E149" s="2"/>
      <c r="F149" s="2"/>
      <c r="G149" s="63"/>
      <c r="H149" s="5"/>
      <c r="I149" s="20"/>
      <c r="J149" s="21"/>
      <c r="K149" s="21"/>
      <c r="L149" s="22"/>
      <c r="M149" s="2"/>
      <c r="N149" s="23"/>
      <c r="O149" s="19"/>
      <c r="P149" s="19"/>
      <c r="Q149" s="19"/>
      <c r="R149" s="24"/>
      <c r="T149" s="57"/>
      <c r="U149" s="2"/>
      <c r="V149" s="2"/>
      <c r="W149" s="199"/>
      <c r="X149" s="198"/>
      <c r="Y149" s="198"/>
      <c r="Z149" s="198"/>
      <c r="AA149" s="272"/>
      <c r="AB149" s="21"/>
      <c r="AC149" s="21"/>
      <c r="AD149" s="21"/>
      <c r="AE149" s="21"/>
      <c r="AF149" s="70"/>
      <c r="AG149" s="20"/>
      <c r="AH149" s="21"/>
      <c r="AI149" s="21"/>
      <c r="AJ149" s="22"/>
      <c r="AK149" s="29"/>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7"/>
    </row>
    <row r="150" spans="1:73">
      <c r="A150" s="699"/>
      <c r="B150" s="23"/>
      <c r="C150" s="17" t="s">
        <v>18</v>
      </c>
      <c r="D150" s="57"/>
      <c r="E150" s="2"/>
      <c r="F150" s="2"/>
      <c r="G150" s="63"/>
      <c r="H150" s="5"/>
      <c r="I150" s="20"/>
      <c r="J150" s="21"/>
      <c r="K150" s="21"/>
      <c r="L150" s="22"/>
      <c r="M150" s="2"/>
      <c r="N150" s="23"/>
      <c r="O150" s="19"/>
      <c r="P150" s="19"/>
      <c r="Q150" s="19"/>
      <c r="R150" s="24"/>
      <c r="T150" s="57"/>
      <c r="U150" s="2"/>
      <c r="V150" s="2"/>
      <c r="W150" s="199"/>
      <c r="X150" s="198"/>
      <c r="Y150" s="198"/>
      <c r="Z150" s="198"/>
      <c r="AA150" s="272"/>
      <c r="AB150" s="21"/>
      <c r="AC150" s="21"/>
      <c r="AD150" s="21"/>
      <c r="AE150" s="21"/>
      <c r="AF150" s="70"/>
      <c r="AG150" s="20"/>
      <c r="AH150" s="21"/>
      <c r="AI150" s="21"/>
      <c r="AJ150" s="22"/>
      <c r="AK150" s="29"/>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32"/>
    </row>
    <row r="151" spans="1:73">
      <c r="A151" s="699"/>
      <c r="B151" s="23"/>
      <c r="C151" s="17" t="s">
        <v>182</v>
      </c>
      <c r="D151" s="57"/>
      <c r="E151" s="2"/>
      <c r="F151" s="2"/>
      <c r="G151" s="63"/>
      <c r="H151" s="2"/>
      <c r="I151" s="20"/>
      <c r="J151" s="21"/>
      <c r="K151" s="21"/>
      <c r="L151" s="22"/>
      <c r="M151" s="2"/>
      <c r="N151" s="23"/>
      <c r="O151" s="19"/>
      <c r="P151" s="19"/>
      <c r="Q151" s="19"/>
      <c r="R151" s="24"/>
      <c r="T151" s="57"/>
      <c r="U151" s="2"/>
      <c r="V151" s="2"/>
      <c r="W151" s="199"/>
      <c r="X151" s="198"/>
      <c r="Y151" s="198"/>
      <c r="Z151" s="198"/>
      <c r="AA151" s="274"/>
      <c r="AB151" s="21"/>
      <c r="AC151" s="21"/>
      <c r="AD151" s="21"/>
      <c r="AE151" s="21"/>
      <c r="AF151" s="70"/>
      <c r="AG151" s="20"/>
      <c r="AH151" s="21"/>
      <c r="AI151" s="21"/>
      <c r="AJ151" s="22"/>
      <c r="AK151" s="29"/>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0</v>
      </c>
      <c r="BI151" s="52">
        <f>O191/1000</f>
        <v>0</v>
      </c>
      <c r="BJ151" s="52">
        <f>P191/1000</f>
        <v>0</v>
      </c>
      <c r="BK151" s="53">
        <f>Q191/1000</f>
        <v>0</v>
      </c>
      <c r="BL151" s="54">
        <f>R191/1000</f>
        <v>0</v>
      </c>
      <c r="BM151" s="51">
        <f>Q192/1000</f>
        <v>0</v>
      </c>
      <c r="BN151" s="54">
        <f>R192/1000</f>
        <v>0</v>
      </c>
      <c r="BP151" s="30"/>
      <c r="BQ151" s="30"/>
      <c r="BR151" s="30"/>
      <c r="BS151" s="31"/>
      <c r="BT151" s="31"/>
      <c r="BU151" s="32"/>
    </row>
    <row r="152" spans="1:73">
      <c r="A152" s="699"/>
      <c r="B152" s="23"/>
      <c r="C152" s="17" t="s">
        <v>183</v>
      </c>
      <c r="D152" s="57"/>
      <c r="E152" s="2"/>
      <c r="F152" s="2"/>
      <c r="G152" s="63"/>
      <c r="H152" s="2"/>
      <c r="I152" s="20"/>
      <c r="J152" s="21"/>
      <c r="K152" s="21"/>
      <c r="L152" s="22"/>
      <c r="M152" s="2"/>
      <c r="N152" s="23"/>
      <c r="O152" s="19"/>
      <c r="P152" s="19"/>
      <c r="Q152" s="19"/>
      <c r="R152" s="33"/>
      <c r="T152" s="57"/>
      <c r="U152" s="2"/>
      <c r="V152" s="2"/>
      <c r="W152" s="199"/>
      <c r="X152" s="198"/>
      <c r="Y152" s="198"/>
      <c r="Z152" s="198"/>
      <c r="AA152" s="274"/>
      <c r="AB152" s="21"/>
      <c r="AC152" s="21"/>
      <c r="AD152" s="21"/>
      <c r="AE152" s="21"/>
      <c r="AF152" s="70"/>
      <c r="AG152" s="20"/>
      <c r="AH152" s="21"/>
      <c r="AI152" s="21"/>
      <c r="AJ152" s="22"/>
      <c r="AK152" s="29"/>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0</v>
      </c>
      <c r="BI152" s="52">
        <f>AH191/1000</f>
        <v>0</v>
      </c>
      <c r="BJ152" s="52">
        <f>AI191/1000</f>
        <v>0</v>
      </c>
      <c r="BK152" s="53">
        <f>AJ191/1000</f>
        <v>0</v>
      </c>
      <c r="BL152" s="54">
        <f>AK191/1000</f>
        <v>0</v>
      </c>
      <c r="BM152" s="51">
        <f>AJ192/1000</f>
        <v>0</v>
      </c>
      <c r="BN152" s="54">
        <f>AK192/1000</f>
        <v>0</v>
      </c>
    </row>
    <row r="153" spans="1:73" s="106" customFormat="1">
      <c r="A153" s="699"/>
      <c r="B153" s="107" t="s">
        <v>67</v>
      </c>
      <c r="C153" s="108"/>
      <c r="D153" s="109"/>
      <c r="E153" s="110"/>
      <c r="F153" s="110"/>
      <c r="G153" s="111"/>
      <c r="H153" s="110"/>
      <c r="I153" s="112"/>
      <c r="J153" s="113"/>
      <c r="K153" s="113"/>
      <c r="L153" s="114"/>
      <c r="M153" s="110"/>
      <c r="N153" s="112"/>
      <c r="O153" s="113"/>
      <c r="P153" s="113"/>
      <c r="Q153" s="114"/>
      <c r="R153" s="115"/>
      <c r="T153" s="109"/>
      <c r="U153" s="110"/>
      <c r="V153" s="110"/>
      <c r="W153" s="203"/>
      <c r="X153" s="130"/>
      <c r="Y153" s="130"/>
      <c r="Z153" s="130"/>
      <c r="AA153" s="276"/>
      <c r="AB153" s="113"/>
      <c r="AC153" s="113"/>
      <c r="AD153" s="113"/>
      <c r="AE153" s="113"/>
      <c r="AF153" s="117"/>
      <c r="AG153" s="112"/>
      <c r="AH153" s="113"/>
      <c r="AI153" s="113"/>
      <c r="AJ153" s="114"/>
      <c r="AK153" s="118"/>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0</v>
      </c>
      <c r="BI153" s="52">
        <f>AZ191/1000</f>
        <v>0</v>
      </c>
      <c r="BJ153" s="52">
        <f>BA191/1000</f>
        <v>0</v>
      </c>
      <c r="BK153" s="53">
        <f>BB191/1000</f>
        <v>0</v>
      </c>
      <c r="BL153" s="54">
        <f>BC191/1000</f>
        <v>0</v>
      </c>
      <c r="BM153" s="51">
        <f>BB192/1000</f>
        <v>0</v>
      </c>
      <c r="BN153" s="54">
        <f>BC192/1000</f>
        <v>0</v>
      </c>
      <c r="BO153" s="6"/>
    </row>
    <row r="154" spans="1:73">
      <c r="A154" s="699"/>
      <c r="B154" s="23" t="s">
        <v>4</v>
      </c>
      <c r="C154" s="17" t="s">
        <v>19</v>
      </c>
      <c r="D154" s="57"/>
      <c r="E154" s="2"/>
      <c r="F154" s="2"/>
      <c r="G154" s="63"/>
      <c r="H154" s="2"/>
      <c r="I154" s="20"/>
      <c r="J154" s="21"/>
      <c r="K154" s="21"/>
      <c r="L154" s="22"/>
      <c r="M154" s="2"/>
      <c r="N154" s="23"/>
      <c r="O154" s="19"/>
      <c r="P154" s="19"/>
      <c r="Q154" s="19"/>
      <c r="R154" s="33"/>
      <c r="T154" s="57"/>
      <c r="U154" s="2"/>
      <c r="V154" s="2"/>
      <c r="W154" s="199"/>
      <c r="X154" s="198"/>
      <c r="Y154" s="198"/>
      <c r="Z154" s="198"/>
      <c r="AA154" s="274"/>
      <c r="AB154" s="21"/>
      <c r="AC154" s="21"/>
      <c r="AD154" s="21"/>
      <c r="AE154" s="21"/>
      <c r="AF154" s="70"/>
      <c r="AG154" s="20"/>
      <c r="AH154" s="21"/>
      <c r="AI154" s="21"/>
      <c r="AJ154" s="22"/>
      <c r="AK154" s="29"/>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t="e">
        <f t="shared" ref="BH154:BN154" si="13">SUM(BH152:BH153)/BH155</f>
        <v>#DIV/0!</v>
      </c>
      <c r="BI154" s="86" t="e">
        <f t="shared" si="13"/>
        <v>#DIV/0!</v>
      </c>
      <c r="BJ154" s="86" t="e">
        <f t="shared" si="13"/>
        <v>#DIV/0!</v>
      </c>
      <c r="BK154" s="87" t="e">
        <f t="shared" si="13"/>
        <v>#DIV/0!</v>
      </c>
      <c r="BL154" s="87" t="e">
        <f t="shared" si="13"/>
        <v>#DIV/0!</v>
      </c>
      <c r="BM154" s="88" t="e">
        <f t="shared" si="13"/>
        <v>#DIV/0!</v>
      </c>
      <c r="BN154" s="87" t="e">
        <f t="shared" si="13"/>
        <v>#DIV/0!</v>
      </c>
    </row>
    <row r="155" spans="1:73">
      <c r="A155" s="699"/>
      <c r="B155" s="23"/>
      <c r="C155" s="17" t="s">
        <v>20</v>
      </c>
      <c r="D155" s="57"/>
      <c r="E155" s="2"/>
      <c r="F155" s="2"/>
      <c r="G155" s="63"/>
      <c r="H155" s="2"/>
      <c r="I155" s="20"/>
      <c r="J155" s="21"/>
      <c r="K155" s="21"/>
      <c r="L155" s="22"/>
      <c r="M155" s="2"/>
      <c r="N155" s="23"/>
      <c r="O155" s="19"/>
      <c r="P155" s="19"/>
      <c r="Q155" s="19"/>
      <c r="R155" s="33"/>
      <c r="T155" s="57"/>
      <c r="U155" s="2"/>
      <c r="V155" s="2"/>
      <c r="W155" s="199"/>
      <c r="X155" s="198"/>
      <c r="Y155" s="198"/>
      <c r="Z155" s="198"/>
      <c r="AA155" s="274"/>
      <c r="AB155" s="21"/>
      <c r="AC155" s="21"/>
      <c r="AD155" s="21"/>
      <c r="AE155" s="21"/>
      <c r="AF155" s="70"/>
      <c r="AG155" s="20"/>
      <c r="AH155" s="21"/>
      <c r="AI155" s="21"/>
      <c r="AJ155" s="22"/>
      <c r="AK155" s="29"/>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14">SUM(BH151:BH153)</f>
        <v>0</v>
      </c>
      <c r="BI155" s="52">
        <f t="shared" si="14"/>
        <v>0</v>
      </c>
      <c r="BJ155" s="52">
        <f t="shared" si="14"/>
        <v>0</v>
      </c>
      <c r="BK155" s="74">
        <f t="shared" si="14"/>
        <v>0</v>
      </c>
      <c r="BL155" s="76">
        <f t="shared" si="14"/>
        <v>0</v>
      </c>
      <c r="BM155" s="81">
        <f t="shared" si="14"/>
        <v>0</v>
      </c>
      <c r="BN155" s="76">
        <f t="shared" si="14"/>
        <v>0</v>
      </c>
    </row>
    <row r="156" spans="1:73">
      <c r="A156" s="699"/>
      <c r="B156" s="23"/>
      <c r="C156" s="17" t="s">
        <v>21</v>
      </c>
      <c r="D156" s="57"/>
      <c r="E156" s="2"/>
      <c r="F156" s="2"/>
      <c r="G156" s="63"/>
      <c r="H156" s="2"/>
      <c r="I156" s="20"/>
      <c r="J156" s="21"/>
      <c r="K156" s="21"/>
      <c r="L156" s="22"/>
      <c r="M156" s="2"/>
      <c r="N156" s="23"/>
      <c r="O156" s="19"/>
      <c r="P156" s="19"/>
      <c r="Q156" s="19"/>
      <c r="R156" s="33"/>
      <c r="T156" s="57"/>
      <c r="U156" s="2"/>
      <c r="V156" s="2"/>
      <c r="W156" s="199"/>
      <c r="X156" s="198"/>
      <c r="Y156" s="198"/>
      <c r="Z156" s="198"/>
      <c r="AA156" s="274"/>
      <c r="AB156" s="21"/>
      <c r="AC156" s="21"/>
      <c r="AD156" s="21"/>
      <c r="AE156" s="21"/>
      <c r="AF156" s="70"/>
      <c r="AG156" s="20"/>
      <c r="AH156" s="21"/>
      <c r="AI156" s="21"/>
      <c r="AJ156" s="22"/>
      <c r="AK156" s="29"/>
      <c r="AL156" s="19"/>
      <c r="AM156" s="57"/>
      <c r="AN156" s="2"/>
      <c r="AO156" s="2"/>
      <c r="AP156" s="63"/>
      <c r="AQ156" s="68"/>
      <c r="AR156" s="21"/>
      <c r="AS156" s="21"/>
      <c r="AT156" s="21"/>
      <c r="AU156" s="25"/>
      <c r="AV156" s="21"/>
      <c r="AW156" s="22"/>
      <c r="AX156" s="2"/>
      <c r="AY156" s="23"/>
      <c r="AZ156" s="19"/>
      <c r="BA156" s="19"/>
      <c r="BB156" s="19"/>
      <c r="BC156" s="24"/>
      <c r="BD156" s="30"/>
    </row>
    <row r="157" spans="1:73" s="106" customFormat="1">
      <c r="A157" s="699"/>
      <c r="B157" s="107" t="s">
        <v>67</v>
      </c>
      <c r="C157" s="108"/>
      <c r="D157" s="109"/>
      <c r="E157" s="110"/>
      <c r="F157" s="110"/>
      <c r="G157" s="111"/>
      <c r="H157" s="110"/>
      <c r="I157" s="112"/>
      <c r="J157" s="113"/>
      <c r="K157" s="113"/>
      <c r="L157" s="114"/>
      <c r="M157" s="110"/>
      <c r="N157" s="112"/>
      <c r="O157" s="113"/>
      <c r="P157" s="113"/>
      <c r="Q157" s="114"/>
      <c r="R157" s="115"/>
      <c r="T157" s="109"/>
      <c r="U157" s="110"/>
      <c r="V157" s="110"/>
      <c r="W157" s="203"/>
      <c r="X157" s="130"/>
      <c r="Y157" s="130"/>
      <c r="Z157" s="130"/>
      <c r="AA157" s="276"/>
      <c r="AB157" s="113"/>
      <c r="AC157" s="113"/>
      <c r="AD157" s="113"/>
      <c r="AE157" s="113"/>
      <c r="AF157" s="117"/>
      <c r="AG157" s="112"/>
      <c r="AH157" s="113"/>
      <c r="AI157" s="113"/>
      <c r="AJ157" s="114"/>
      <c r="AK157" s="118"/>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row>
    <row r="158" spans="1:73">
      <c r="A158" s="699"/>
      <c r="B158" s="23" t="s">
        <v>2</v>
      </c>
      <c r="C158" s="17" t="s">
        <v>22</v>
      </c>
      <c r="D158" s="57"/>
      <c r="E158" s="2"/>
      <c r="F158" s="2"/>
      <c r="G158" s="63"/>
      <c r="H158" s="2"/>
      <c r="I158" s="20"/>
      <c r="J158" s="21"/>
      <c r="K158" s="21"/>
      <c r="L158" s="22"/>
      <c r="M158" s="2"/>
      <c r="N158" s="20"/>
      <c r="O158" s="21"/>
      <c r="P158" s="21"/>
      <c r="Q158" s="19"/>
      <c r="R158" s="34"/>
      <c r="T158" s="57"/>
      <c r="U158" s="2"/>
      <c r="V158" s="2"/>
      <c r="W158" s="199"/>
      <c r="X158" s="198"/>
      <c r="Y158" s="198"/>
      <c r="Z158" s="198"/>
      <c r="AA158" s="274"/>
      <c r="AB158" s="21"/>
      <c r="AC158" s="21"/>
      <c r="AD158" s="21"/>
      <c r="AE158" s="21"/>
      <c r="AF158" s="70"/>
      <c r="AG158" s="20"/>
      <c r="AH158" s="21"/>
      <c r="AI158" s="21"/>
      <c r="AJ158" s="22"/>
      <c r="AK158" s="29"/>
      <c r="AL158" s="19"/>
      <c r="AM158" s="57"/>
      <c r="AN158" s="2"/>
      <c r="AO158" s="2"/>
      <c r="AP158" s="63"/>
      <c r="AQ158" s="70"/>
      <c r="AR158" s="21"/>
      <c r="AS158" s="35"/>
      <c r="AT158" s="21"/>
      <c r="AU158" s="25"/>
      <c r="AV158" s="21"/>
      <c r="AW158" s="22"/>
      <c r="AX158" s="82"/>
      <c r="AY158" s="20"/>
      <c r="AZ158" s="21"/>
      <c r="BA158" s="21"/>
      <c r="BB158" s="21"/>
      <c r="BC158" s="29"/>
      <c r="BD158" s="30"/>
    </row>
    <row r="159" spans="1:73">
      <c r="A159" s="699"/>
      <c r="B159" s="23"/>
      <c r="C159" s="17" t="s">
        <v>23</v>
      </c>
      <c r="D159" s="57"/>
      <c r="E159" s="2"/>
      <c r="F159" s="2"/>
      <c r="G159" s="63"/>
      <c r="H159" s="2"/>
      <c r="I159" s="20"/>
      <c r="J159" s="21"/>
      <c r="K159" s="21"/>
      <c r="L159" s="22"/>
      <c r="M159" s="2"/>
      <c r="N159" s="20"/>
      <c r="O159" s="21"/>
      <c r="P159" s="21"/>
      <c r="Q159" s="19"/>
      <c r="R159" s="34"/>
      <c r="T159" s="57"/>
      <c r="U159" s="2"/>
      <c r="V159" s="2"/>
      <c r="W159" s="199"/>
      <c r="X159" s="198"/>
      <c r="Y159" s="198"/>
      <c r="Z159" s="198"/>
      <c r="AA159" s="274"/>
      <c r="AB159" s="21"/>
      <c r="AC159" s="21"/>
      <c r="AD159" s="21"/>
      <c r="AE159" s="21"/>
      <c r="AF159" s="70"/>
      <c r="AG159" s="20"/>
      <c r="AH159" s="21"/>
      <c r="AI159" s="21"/>
      <c r="AJ159" s="22"/>
      <c r="AK159" s="29"/>
      <c r="AL159" s="19"/>
      <c r="AM159" s="57"/>
      <c r="AN159" s="2"/>
      <c r="AO159" s="2"/>
      <c r="AP159" s="63"/>
      <c r="AQ159" s="68"/>
      <c r="AR159" s="21"/>
      <c r="AS159" s="35"/>
      <c r="AT159" s="21"/>
      <c r="AU159" s="25"/>
      <c r="AV159" s="21"/>
      <c r="AW159" s="22"/>
      <c r="AX159" s="2"/>
      <c r="AY159" s="20"/>
      <c r="AZ159" s="21"/>
      <c r="BA159" s="21"/>
      <c r="BB159" s="21"/>
      <c r="BC159" s="29"/>
      <c r="BD159" s="36"/>
    </row>
    <row r="160" spans="1:73">
      <c r="A160" s="699"/>
      <c r="B160" s="23"/>
      <c r="C160" s="17" t="s">
        <v>24</v>
      </c>
      <c r="D160" s="57"/>
      <c r="E160" s="2"/>
      <c r="F160" s="2"/>
      <c r="G160" s="63"/>
      <c r="H160" s="2"/>
      <c r="I160" s="20"/>
      <c r="J160" s="21"/>
      <c r="K160" s="21"/>
      <c r="L160" s="22"/>
      <c r="M160" s="2"/>
      <c r="N160" s="20"/>
      <c r="O160" s="21"/>
      <c r="P160" s="21"/>
      <c r="Q160" s="19"/>
      <c r="R160" s="34"/>
      <c r="T160" s="57"/>
      <c r="U160" s="2"/>
      <c r="V160" s="2"/>
      <c r="W160" s="199"/>
      <c r="X160" s="198"/>
      <c r="Y160" s="198"/>
      <c r="Z160" s="198"/>
      <c r="AA160" s="274"/>
      <c r="AB160" s="21"/>
      <c r="AC160" s="21"/>
      <c r="AD160" s="21"/>
      <c r="AE160" s="21"/>
      <c r="AF160" s="70"/>
      <c r="AG160" s="20"/>
      <c r="AH160" s="21"/>
      <c r="AI160" s="21"/>
      <c r="AJ160" s="22"/>
      <c r="AK160" s="29"/>
      <c r="AL160" s="19"/>
      <c r="AM160" s="57"/>
      <c r="AN160" s="2"/>
      <c r="AO160" s="2"/>
      <c r="AP160" s="63"/>
      <c r="AQ160" s="70"/>
      <c r="AR160" s="21"/>
      <c r="AS160" s="35"/>
      <c r="AT160" s="21"/>
      <c r="AU160" s="25"/>
      <c r="AV160" s="21"/>
      <c r="AW160" s="22"/>
      <c r="AX160" s="2"/>
      <c r="AY160" s="20"/>
      <c r="AZ160" s="21"/>
      <c r="BA160" s="21"/>
      <c r="BB160" s="21"/>
      <c r="BC160" s="29"/>
    </row>
    <row r="161" spans="1:67">
      <c r="A161" s="699"/>
      <c r="B161" s="23"/>
      <c r="C161" s="17" t="s">
        <v>25</v>
      </c>
      <c r="D161" s="57"/>
      <c r="E161" s="2"/>
      <c r="F161" s="2"/>
      <c r="G161" s="63"/>
      <c r="H161" s="2"/>
      <c r="I161" s="20"/>
      <c r="J161" s="21"/>
      <c r="K161" s="21"/>
      <c r="L161" s="22"/>
      <c r="M161" s="2"/>
      <c r="N161" s="20"/>
      <c r="O161" s="21"/>
      <c r="P161" s="21"/>
      <c r="Q161" s="19"/>
      <c r="R161" s="34"/>
      <c r="T161" s="57"/>
      <c r="U161" s="2"/>
      <c r="V161" s="2"/>
      <c r="W161" s="199"/>
      <c r="X161" s="198"/>
      <c r="Y161" s="198"/>
      <c r="Z161" s="198"/>
      <c r="AA161" s="274"/>
      <c r="AB161" s="21"/>
      <c r="AC161" s="21"/>
      <c r="AD161" s="21"/>
      <c r="AE161" s="21"/>
      <c r="AF161" s="70"/>
      <c r="AG161" s="20"/>
      <c r="AH161" s="21"/>
      <c r="AI161" s="21"/>
      <c r="AJ161" s="22"/>
      <c r="AK161" s="29"/>
      <c r="AL161" s="19"/>
      <c r="AM161" s="57"/>
      <c r="AN161" s="2"/>
      <c r="AO161" s="2"/>
      <c r="AP161" s="63"/>
      <c r="AQ161" s="68"/>
      <c r="AR161" s="21"/>
      <c r="AS161" s="35"/>
      <c r="AT161" s="21"/>
      <c r="AU161" s="25"/>
      <c r="AV161" s="21"/>
      <c r="AW161" s="22"/>
      <c r="AX161" s="83"/>
      <c r="AY161" s="20"/>
      <c r="AZ161" s="21"/>
      <c r="BA161" s="21"/>
      <c r="BB161" s="21"/>
      <c r="BC161" s="29"/>
    </row>
    <row r="162" spans="1:67">
      <c r="A162" s="699"/>
      <c r="B162" s="23"/>
      <c r="C162" s="17" t="s">
        <v>0</v>
      </c>
      <c r="D162" s="57"/>
      <c r="E162" s="2"/>
      <c r="F162" s="2"/>
      <c r="G162" s="63"/>
      <c r="H162" s="198"/>
      <c r="I162" s="112"/>
      <c r="J162" s="21"/>
      <c r="K162" s="21"/>
      <c r="L162" s="22"/>
      <c r="M162" s="2"/>
      <c r="N162" s="20"/>
      <c r="O162" s="19"/>
      <c r="P162" s="19"/>
      <c r="Q162" s="114"/>
      <c r="R162" s="34"/>
      <c r="T162" s="57"/>
      <c r="U162" s="2"/>
      <c r="V162" s="2"/>
      <c r="W162" s="199"/>
      <c r="X162" s="198"/>
      <c r="Y162" s="198"/>
      <c r="Z162" s="198"/>
      <c r="AA162" s="278"/>
      <c r="AB162" s="21"/>
      <c r="AC162" s="21"/>
      <c r="AD162" s="21"/>
      <c r="AE162" s="21"/>
      <c r="AF162" s="70"/>
      <c r="AG162" s="20"/>
      <c r="AH162" s="21"/>
      <c r="AI162" s="21"/>
      <c r="AJ162" s="22"/>
      <c r="AK162" s="29"/>
      <c r="AL162" s="19"/>
      <c r="AM162" s="57"/>
      <c r="AN162" s="2"/>
      <c r="AO162" s="2"/>
      <c r="AP162" s="63"/>
      <c r="AQ162" s="68"/>
      <c r="AR162" s="21"/>
      <c r="AS162" s="35"/>
      <c r="AT162" s="21"/>
      <c r="AU162" s="25"/>
      <c r="AV162" s="21"/>
      <c r="AW162" s="22"/>
      <c r="AX162" s="2"/>
      <c r="AY162" s="23"/>
      <c r="AZ162" s="19"/>
      <c r="BA162" s="19"/>
      <c r="BB162" s="21"/>
      <c r="BC162" s="24"/>
    </row>
    <row r="163" spans="1:67" s="106" customFormat="1">
      <c r="A163" s="699"/>
      <c r="B163" s="107" t="s">
        <v>67</v>
      </c>
      <c r="C163" s="108"/>
      <c r="D163" s="109"/>
      <c r="E163" s="110"/>
      <c r="F163" s="110"/>
      <c r="G163" s="111"/>
      <c r="H163" s="110"/>
      <c r="I163" s="112"/>
      <c r="J163" s="113"/>
      <c r="K163" s="113"/>
      <c r="L163" s="114"/>
      <c r="M163" s="110"/>
      <c r="N163" s="112"/>
      <c r="O163" s="113"/>
      <c r="P163" s="113"/>
      <c r="Q163" s="114"/>
      <c r="R163" s="115"/>
      <c r="T163" s="109"/>
      <c r="U163" s="110"/>
      <c r="V163" s="110"/>
      <c r="W163" s="203"/>
      <c r="X163" s="130"/>
      <c r="Y163" s="130"/>
      <c r="Z163" s="130"/>
      <c r="AA163" s="276"/>
      <c r="AB163" s="113"/>
      <c r="AC163" s="113"/>
      <c r="AD163" s="113"/>
      <c r="AE163" s="113"/>
      <c r="AF163" s="117"/>
      <c r="AG163" s="112"/>
      <c r="AH163" s="113"/>
      <c r="AI163" s="113"/>
      <c r="AJ163" s="114"/>
      <c r="AK163" s="118"/>
      <c r="AL163" s="119"/>
      <c r="AM163" s="109"/>
      <c r="AN163" s="110"/>
      <c r="AO163" s="110"/>
      <c r="AP163" s="111"/>
      <c r="AQ163" s="116"/>
      <c r="AR163" s="113"/>
      <c r="AS163" s="113"/>
      <c r="AT163" s="113"/>
      <c r="AU163" s="120"/>
      <c r="AV163" s="113"/>
      <c r="AW163" s="114"/>
      <c r="AX163" s="110"/>
      <c r="AY163" s="241"/>
      <c r="AZ163" s="242"/>
      <c r="BA163" s="242"/>
      <c r="BB163" s="243"/>
      <c r="BC163" s="118"/>
      <c r="BD163" s="122"/>
      <c r="BG163" s="146"/>
      <c r="BH163" s="138" t="s">
        <v>72</v>
      </c>
      <c r="BI163" s="138" t="s">
        <v>68</v>
      </c>
      <c r="BJ163" s="138" t="s">
        <v>69</v>
      </c>
      <c r="BK163" s="138" t="s">
        <v>73</v>
      </c>
      <c r="BL163" s="138" t="s">
        <v>78</v>
      </c>
      <c r="BM163" s="6"/>
      <c r="BN163" s="6"/>
      <c r="BO163" s="6"/>
    </row>
    <row r="164" spans="1:67">
      <c r="A164" s="699"/>
      <c r="B164" s="23" t="s">
        <v>5</v>
      </c>
      <c r="C164" s="17" t="s">
        <v>26</v>
      </c>
      <c r="D164" s="57"/>
      <c r="E164" s="2"/>
      <c r="F164" s="2"/>
      <c r="G164" s="63"/>
      <c r="H164" s="2"/>
      <c r="I164" s="20"/>
      <c r="J164" s="21"/>
      <c r="K164" s="21"/>
      <c r="L164" s="22"/>
      <c r="M164" s="2"/>
      <c r="N164" s="23"/>
      <c r="O164" s="19"/>
      <c r="P164" s="19"/>
      <c r="Q164" s="19"/>
      <c r="R164" s="33"/>
      <c r="T164" s="57"/>
      <c r="U164" s="2"/>
      <c r="V164" s="2"/>
      <c r="W164" s="199"/>
      <c r="X164" s="198"/>
      <c r="Y164" s="198"/>
      <c r="Z164" s="198"/>
      <c r="AA164" s="274"/>
      <c r="AB164" s="21"/>
      <c r="AC164" s="21"/>
      <c r="AD164" s="21"/>
      <c r="AE164" s="21"/>
      <c r="AF164" s="70"/>
      <c r="AG164" s="20"/>
      <c r="AH164" s="21"/>
      <c r="AI164" s="21"/>
      <c r="AJ164" s="22"/>
      <c r="AK164" s="29"/>
      <c r="AL164" s="19"/>
      <c r="AM164" s="57"/>
      <c r="AN164" s="2"/>
      <c r="AO164" s="2"/>
      <c r="AP164" s="63"/>
      <c r="AQ164" s="68"/>
      <c r="AR164" s="21"/>
      <c r="AS164" s="21"/>
      <c r="AT164" s="21"/>
      <c r="AU164" s="240"/>
      <c r="AV164" s="19"/>
      <c r="AW164" s="195"/>
      <c r="AX164" s="2"/>
      <c r="AY164" s="238"/>
      <c r="BB164" s="19"/>
      <c r="BC164" s="24"/>
      <c r="BG164" s="147" t="s">
        <v>3</v>
      </c>
      <c r="BH164" s="52">
        <f>Q153/1000</f>
        <v>0</v>
      </c>
      <c r="BI164" s="52">
        <f>AJ153/1000</f>
        <v>0</v>
      </c>
      <c r="BJ164" s="52">
        <f>BB153/1000</f>
        <v>0</v>
      </c>
      <c r="BK164" s="137" t="e">
        <f>SUM(BI164:BJ164)/BL164</f>
        <v>#DIV/0!</v>
      </c>
      <c r="BL164" s="52">
        <f>SUM(BH164:BJ164)</f>
        <v>0</v>
      </c>
    </row>
    <row r="165" spans="1:67">
      <c r="A165" s="699"/>
      <c r="B165" s="23"/>
      <c r="C165" s="17" t="s">
        <v>27</v>
      </c>
      <c r="D165" s="57"/>
      <c r="E165" s="2"/>
      <c r="F165" s="2"/>
      <c r="G165" s="63"/>
      <c r="H165" s="2"/>
      <c r="I165" s="20"/>
      <c r="J165" s="21"/>
      <c r="K165" s="21"/>
      <c r="L165" s="22"/>
      <c r="M165" s="2"/>
      <c r="N165" s="23"/>
      <c r="O165" s="19"/>
      <c r="P165" s="19"/>
      <c r="Q165" s="19"/>
      <c r="R165" s="33"/>
      <c r="T165" s="57"/>
      <c r="U165" s="2"/>
      <c r="V165" s="2"/>
      <c r="W165" s="199"/>
      <c r="X165" s="198"/>
      <c r="Y165" s="198"/>
      <c r="Z165" s="198"/>
      <c r="AA165" s="274"/>
      <c r="AB165" s="21"/>
      <c r="AC165" s="21"/>
      <c r="AD165" s="21"/>
      <c r="AE165" s="21"/>
      <c r="AF165" s="70"/>
      <c r="AG165" s="20"/>
      <c r="AH165" s="21"/>
      <c r="AI165" s="21"/>
      <c r="AJ165" s="22"/>
      <c r="AK165" s="29"/>
      <c r="AL165" s="19"/>
      <c r="AM165" s="57"/>
      <c r="AN165" s="2"/>
      <c r="AO165" s="2"/>
      <c r="AP165" s="63"/>
      <c r="AQ165" s="68"/>
      <c r="AR165" s="21"/>
      <c r="AS165" s="21"/>
      <c r="AT165" s="21"/>
      <c r="AU165" s="240"/>
      <c r="AV165" s="19"/>
      <c r="AW165" s="195"/>
      <c r="AX165" s="2"/>
      <c r="AY165" s="238"/>
      <c r="BB165" s="19"/>
      <c r="BC165" s="24"/>
      <c r="BG165" s="147" t="s">
        <v>4</v>
      </c>
      <c r="BH165" s="52">
        <f>Q157/1000</f>
        <v>0</v>
      </c>
      <c r="BI165" s="52">
        <f>AJ157/1000</f>
        <v>0</v>
      </c>
      <c r="BJ165" s="52">
        <f>BB157/1000</f>
        <v>0</v>
      </c>
      <c r="BK165" s="137" t="e">
        <f t="shared" ref="BK165:BK172" si="15">SUM(BI165:BJ165)/BL165</f>
        <v>#DIV/0!</v>
      </c>
      <c r="BL165" s="52">
        <f t="shared" ref="BL165:BL172" si="16">SUM(BH165:BJ165)</f>
        <v>0</v>
      </c>
    </row>
    <row r="166" spans="1:67">
      <c r="A166" s="699"/>
      <c r="B166" s="23"/>
      <c r="C166" s="17" t="s">
        <v>28</v>
      </c>
      <c r="D166" s="57"/>
      <c r="E166" s="2"/>
      <c r="F166" s="2"/>
      <c r="G166" s="63"/>
      <c r="H166" s="2"/>
      <c r="I166" s="20"/>
      <c r="J166" s="21"/>
      <c r="K166" s="21"/>
      <c r="L166" s="22"/>
      <c r="M166" s="2"/>
      <c r="N166" s="23"/>
      <c r="O166" s="19"/>
      <c r="P166" s="19"/>
      <c r="Q166" s="19"/>
      <c r="R166" s="33"/>
      <c r="T166" s="57"/>
      <c r="U166" s="2"/>
      <c r="V166" s="2"/>
      <c r="W166" s="199"/>
      <c r="X166" s="198"/>
      <c r="Y166" s="198"/>
      <c r="Z166" s="198"/>
      <c r="AA166" s="274"/>
      <c r="AB166" s="21"/>
      <c r="AC166" s="21"/>
      <c r="AD166" s="21"/>
      <c r="AE166" s="21"/>
      <c r="AF166" s="70"/>
      <c r="AG166" s="20"/>
      <c r="AH166" s="21"/>
      <c r="AI166" s="21"/>
      <c r="AJ166" s="22"/>
      <c r="AK166" s="29"/>
      <c r="AL166" s="19"/>
      <c r="AM166" s="57"/>
      <c r="AN166" s="2"/>
      <c r="AO166" s="2"/>
      <c r="AP166" s="63"/>
      <c r="AQ166" s="68"/>
      <c r="AR166" s="21"/>
      <c r="AS166" s="21"/>
      <c r="AT166" s="21"/>
      <c r="AU166" s="240"/>
      <c r="AV166" s="19"/>
      <c r="AW166" s="195"/>
      <c r="AX166" s="2"/>
      <c r="AY166" s="238"/>
      <c r="BB166" s="19"/>
      <c r="BC166" s="24"/>
      <c r="BG166" s="147" t="s">
        <v>2</v>
      </c>
      <c r="BH166" s="52">
        <f>Q163/1000</f>
        <v>0</v>
      </c>
      <c r="BI166" s="52">
        <f>AJ163/1000</f>
        <v>0</v>
      </c>
      <c r="BJ166" s="52">
        <f>BB163/1000</f>
        <v>0</v>
      </c>
      <c r="BK166" s="137" t="e">
        <f t="shared" si="15"/>
        <v>#DIV/0!</v>
      </c>
      <c r="BL166" s="52">
        <f t="shared" si="16"/>
        <v>0</v>
      </c>
    </row>
    <row r="167" spans="1:67">
      <c r="A167" s="699"/>
      <c r="B167" s="23"/>
      <c r="C167" s="17" t="s">
        <v>29</v>
      </c>
      <c r="D167" s="57"/>
      <c r="E167" s="2"/>
      <c r="F167" s="2"/>
      <c r="G167" s="63"/>
      <c r="H167" s="2"/>
      <c r="I167" s="20"/>
      <c r="J167" s="21"/>
      <c r="K167" s="21"/>
      <c r="L167" s="22"/>
      <c r="M167" s="2"/>
      <c r="N167" s="23"/>
      <c r="O167" s="19"/>
      <c r="P167" s="19"/>
      <c r="Q167" s="19"/>
      <c r="R167" s="33"/>
      <c r="T167" s="57"/>
      <c r="U167" s="2"/>
      <c r="V167" s="2"/>
      <c r="W167" s="199"/>
      <c r="X167" s="198"/>
      <c r="Y167" s="198"/>
      <c r="Z167" s="198"/>
      <c r="AA167" s="274"/>
      <c r="AB167" s="21"/>
      <c r="AC167" s="21"/>
      <c r="AD167" s="21"/>
      <c r="AE167" s="21"/>
      <c r="AF167" s="70"/>
      <c r="AG167" s="20"/>
      <c r="AH167" s="21"/>
      <c r="AI167" s="21"/>
      <c r="AJ167" s="22"/>
      <c r="AK167" s="29"/>
      <c r="AL167" s="19"/>
      <c r="AM167" s="57"/>
      <c r="AN167" s="2"/>
      <c r="AO167" s="2"/>
      <c r="AP167" s="63"/>
      <c r="AQ167" s="68"/>
      <c r="AR167" s="21"/>
      <c r="AS167" s="21"/>
      <c r="AT167" s="21"/>
      <c r="AU167" s="240"/>
      <c r="AV167" s="19"/>
      <c r="AW167" s="195"/>
      <c r="AX167" s="2"/>
      <c r="AY167" s="238"/>
      <c r="BB167" s="19"/>
      <c r="BC167" s="24"/>
      <c r="BG167" s="147" t="s">
        <v>5</v>
      </c>
      <c r="BH167" s="52">
        <f>Q168/1000</f>
        <v>0</v>
      </c>
      <c r="BI167" s="52">
        <f>AJ168/1000</f>
        <v>0</v>
      </c>
      <c r="BJ167" s="52">
        <f>BB168/1000</f>
        <v>0</v>
      </c>
      <c r="BK167" s="137" t="e">
        <f t="shared" si="15"/>
        <v>#DIV/0!</v>
      </c>
      <c r="BL167" s="52">
        <f t="shared" si="16"/>
        <v>0</v>
      </c>
    </row>
    <row r="168" spans="1:67" s="106" customFormat="1">
      <c r="A168" s="699"/>
      <c r="B168" s="107" t="s">
        <v>67</v>
      </c>
      <c r="C168" s="108"/>
      <c r="D168" s="109"/>
      <c r="E168" s="110"/>
      <c r="F168" s="110"/>
      <c r="G168" s="111"/>
      <c r="H168" s="110"/>
      <c r="I168" s="112"/>
      <c r="J168" s="113"/>
      <c r="K168" s="113"/>
      <c r="L168" s="114"/>
      <c r="M168" s="110"/>
      <c r="N168" s="112"/>
      <c r="O168" s="113"/>
      <c r="P168" s="113"/>
      <c r="Q168" s="114"/>
      <c r="R168" s="115"/>
      <c r="T168" s="109"/>
      <c r="U168" s="110"/>
      <c r="V168" s="110"/>
      <c r="W168" s="203"/>
      <c r="X168" s="130"/>
      <c r="Y168" s="130"/>
      <c r="Z168" s="130"/>
      <c r="AA168" s="276"/>
      <c r="AB168" s="113"/>
      <c r="AC168" s="113"/>
      <c r="AD168" s="113"/>
      <c r="AE168" s="113"/>
      <c r="AF168" s="117"/>
      <c r="AG168" s="112"/>
      <c r="AH168" s="113"/>
      <c r="AI168" s="113"/>
      <c r="AJ168" s="114"/>
      <c r="AK168" s="118"/>
      <c r="AL168" s="119"/>
      <c r="AM168" s="109"/>
      <c r="AN168" s="110"/>
      <c r="AO168" s="110"/>
      <c r="AP168" s="111"/>
      <c r="AQ168" s="117"/>
      <c r="AR168" s="113"/>
      <c r="AS168" s="123"/>
      <c r="AT168" s="113"/>
      <c r="AU168" s="120"/>
      <c r="AV168" s="113"/>
      <c r="AW168" s="114"/>
      <c r="AX168" s="110"/>
      <c r="AY168" s="241"/>
      <c r="AZ168" s="242"/>
      <c r="BA168" s="242"/>
      <c r="BB168" s="114"/>
      <c r="BC168" s="118"/>
      <c r="BD168" s="122"/>
      <c r="BG168" s="147" t="s">
        <v>6</v>
      </c>
      <c r="BH168" s="52">
        <f>Q178/1000</f>
        <v>0</v>
      </c>
      <c r="BI168" s="52">
        <f>AJ178/1000</f>
        <v>0</v>
      </c>
      <c r="BJ168" s="52">
        <f>BB178/1000</f>
        <v>0</v>
      </c>
      <c r="BK168" s="137" t="e">
        <f t="shared" si="15"/>
        <v>#DIV/0!</v>
      </c>
      <c r="BL168" s="52">
        <f t="shared" si="16"/>
        <v>0</v>
      </c>
      <c r="BM168" s="6"/>
      <c r="BN168" s="6"/>
      <c r="BO168" s="6"/>
    </row>
    <row r="169" spans="1:67">
      <c r="A169" s="699"/>
      <c r="B169" s="23" t="s">
        <v>6</v>
      </c>
      <c r="C169" s="17" t="s">
        <v>30</v>
      </c>
      <c r="D169" s="57"/>
      <c r="E169" s="2"/>
      <c r="F169" s="2"/>
      <c r="G169" s="63"/>
      <c r="H169" s="2"/>
      <c r="I169" s="20"/>
      <c r="J169" s="21"/>
      <c r="K169" s="21"/>
      <c r="L169" s="22"/>
      <c r="M169" s="2"/>
      <c r="N169" s="23"/>
      <c r="O169" s="19"/>
      <c r="P169" s="19"/>
      <c r="Q169" s="19"/>
      <c r="R169" s="33"/>
      <c r="T169" s="57"/>
      <c r="U169" s="2"/>
      <c r="V169" s="2"/>
      <c r="W169" s="199"/>
      <c r="X169" s="198"/>
      <c r="Y169" s="198"/>
      <c r="Z169" s="198"/>
      <c r="AA169" s="274"/>
      <c r="AB169" s="21"/>
      <c r="AC169" s="21"/>
      <c r="AD169" s="21"/>
      <c r="AE169" s="21"/>
      <c r="AF169" s="70"/>
      <c r="AG169" s="20"/>
      <c r="AH169" s="21"/>
      <c r="AI169" s="21"/>
      <c r="AJ169" s="22"/>
      <c r="AK169" s="29"/>
      <c r="AL169" s="19"/>
      <c r="AM169" s="57"/>
      <c r="AN169" s="2"/>
      <c r="AO169" s="2"/>
      <c r="AP169" s="63"/>
      <c r="AQ169" s="68"/>
      <c r="AR169" s="21"/>
      <c r="AS169" s="21"/>
      <c r="AT169" s="21"/>
      <c r="AU169" s="240"/>
      <c r="AV169" s="19"/>
      <c r="AW169" s="195"/>
      <c r="AX169" s="2"/>
      <c r="AY169" s="238"/>
      <c r="BB169" s="19"/>
      <c r="BC169" s="24"/>
      <c r="BG169" s="147" t="s">
        <v>8</v>
      </c>
      <c r="BH169" s="52">
        <f>Q179/1000</f>
        <v>0</v>
      </c>
      <c r="BI169" s="52">
        <f>AJ179/1000</f>
        <v>0</v>
      </c>
      <c r="BJ169" s="52">
        <f>BB179/1000</f>
        <v>0</v>
      </c>
      <c r="BK169" s="137" t="e">
        <f t="shared" si="15"/>
        <v>#DIV/0!</v>
      </c>
      <c r="BL169" s="52">
        <f t="shared" si="16"/>
        <v>0</v>
      </c>
    </row>
    <row r="170" spans="1:67">
      <c r="A170" s="699"/>
      <c r="B170" s="23"/>
      <c r="C170" s="17" t="s">
        <v>31</v>
      </c>
      <c r="D170" s="57"/>
      <c r="E170" s="2"/>
      <c r="F170" s="2"/>
      <c r="G170" s="63"/>
      <c r="H170" s="2"/>
      <c r="I170" s="20"/>
      <c r="J170" s="21"/>
      <c r="K170" s="21"/>
      <c r="L170" s="22"/>
      <c r="M170" s="2"/>
      <c r="N170" s="23"/>
      <c r="O170" s="19"/>
      <c r="P170" s="19"/>
      <c r="Q170" s="19"/>
      <c r="R170" s="33"/>
      <c r="T170" s="57"/>
      <c r="U170" s="2"/>
      <c r="V170" s="2"/>
      <c r="W170" s="199"/>
      <c r="X170" s="198"/>
      <c r="Y170" s="198"/>
      <c r="Z170" s="198"/>
      <c r="AA170" s="274"/>
      <c r="AB170" s="21"/>
      <c r="AC170" s="21"/>
      <c r="AD170" s="21"/>
      <c r="AE170" s="21"/>
      <c r="AF170" s="70"/>
      <c r="AG170" s="20"/>
      <c r="AH170" s="21"/>
      <c r="AI170" s="21"/>
      <c r="AJ170" s="22"/>
      <c r="AK170" s="29"/>
      <c r="AL170" s="19"/>
      <c r="AM170" s="57"/>
      <c r="AN170" s="2"/>
      <c r="AO170" s="2"/>
      <c r="AP170" s="63"/>
      <c r="AQ170" s="68"/>
      <c r="AR170" s="21"/>
      <c r="AS170" s="21"/>
      <c r="AT170" s="21"/>
      <c r="AU170" s="240"/>
      <c r="AV170" s="19"/>
      <c r="AW170" s="195"/>
      <c r="AX170" s="2"/>
      <c r="AY170" s="238"/>
      <c r="BB170" s="19"/>
      <c r="BC170" s="24"/>
      <c r="BG170" s="147" t="s">
        <v>7</v>
      </c>
      <c r="BH170" s="52">
        <f>Q182/1000</f>
        <v>0</v>
      </c>
      <c r="BI170" s="52">
        <f>AJ182/1000</f>
        <v>0</v>
      </c>
      <c r="BJ170" s="52">
        <f>BB182/1000</f>
        <v>0</v>
      </c>
      <c r="BK170" s="137" t="e">
        <f t="shared" si="15"/>
        <v>#DIV/0!</v>
      </c>
      <c r="BL170" s="52">
        <f t="shared" si="16"/>
        <v>0</v>
      </c>
    </row>
    <row r="171" spans="1:67">
      <c r="A171" s="699"/>
      <c r="B171" s="23"/>
      <c r="C171" s="17" t="s">
        <v>32</v>
      </c>
      <c r="D171" s="57"/>
      <c r="E171" s="2"/>
      <c r="F171" s="2"/>
      <c r="G171" s="63"/>
      <c r="H171" s="2"/>
      <c r="I171" s="20"/>
      <c r="J171" s="21"/>
      <c r="K171" s="21"/>
      <c r="L171" s="22"/>
      <c r="M171" s="2"/>
      <c r="N171" s="23"/>
      <c r="O171" s="19"/>
      <c r="P171" s="19"/>
      <c r="Q171" s="19"/>
      <c r="R171" s="33"/>
      <c r="T171" s="57"/>
      <c r="U171" s="2"/>
      <c r="V171" s="2"/>
      <c r="W171" s="199"/>
      <c r="X171" s="198"/>
      <c r="Y171" s="198"/>
      <c r="Z171" s="198"/>
      <c r="AA171" s="274"/>
      <c r="AB171" s="21"/>
      <c r="AC171" s="21"/>
      <c r="AD171" s="21"/>
      <c r="AE171" s="21"/>
      <c r="AF171" s="70"/>
      <c r="AG171" s="20"/>
      <c r="AH171" s="21"/>
      <c r="AI171" s="21"/>
      <c r="AJ171" s="22"/>
      <c r="AK171" s="29"/>
      <c r="AL171" s="19"/>
      <c r="AM171" s="57"/>
      <c r="AN171" s="2"/>
      <c r="AO171" s="2"/>
      <c r="AP171" s="63"/>
      <c r="AQ171" s="68"/>
      <c r="AR171" s="21"/>
      <c r="AS171" s="21"/>
      <c r="AT171" s="21"/>
      <c r="AU171" s="240"/>
      <c r="AV171" s="19"/>
      <c r="AW171" s="195"/>
      <c r="AX171" s="2"/>
      <c r="AY171" s="238"/>
      <c r="BB171" s="19"/>
      <c r="BC171" s="24"/>
      <c r="BG171" s="147" t="s">
        <v>11</v>
      </c>
      <c r="BH171" s="52">
        <f>Q187/1000</f>
        <v>0</v>
      </c>
      <c r="BI171" s="52">
        <f>AJ187/1000</f>
        <v>0</v>
      </c>
      <c r="BJ171" s="52">
        <f>BB187/1000</f>
        <v>0</v>
      </c>
      <c r="BK171" s="137" t="e">
        <f t="shared" si="15"/>
        <v>#DIV/0!</v>
      </c>
      <c r="BL171" s="52">
        <f t="shared" si="16"/>
        <v>0</v>
      </c>
    </row>
    <row r="172" spans="1:67" s="90" customFormat="1">
      <c r="A172" s="699"/>
      <c r="B172" s="91" t="s">
        <v>42</v>
      </c>
      <c r="C172" s="92"/>
      <c r="D172" s="93"/>
      <c r="E172" s="94"/>
      <c r="F172" s="94"/>
      <c r="G172" s="95"/>
      <c r="H172" s="94"/>
      <c r="I172" s="96"/>
      <c r="J172" s="97"/>
      <c r="K172" s="97"/>
      <c r="L172" s="98"/>
      <c r="M172" s="94"/>
      <c r="N172" s="96"/>
      <c r="O172" s="97"/>
      <c r="P172" s="97"/>
      <c r="Q172" s="97"/>
      <c r="R172" s="99"/>
      <c r="T172" s="93"/>
      <c r="U172" s="94"/>
      <c r="V172" s="94"/>
      <c r="W172" s="211"/>
      <c r="X172" s="289"/>
      <c r="Y172" s="289"/>
      <c r="Z172" s="289"/>
      <c r="AA172" s="280"/>
      <c r="AB172" s="97"/>
      <c r="AC172" s="97"/>
      <c r="AD172" s="97"/>
      <c r="AE172" s="97"/>
      <c r="AF172" s="101"/>
      <c r="AG172" s="96"/>
      <c r="AH172" s="97"/>
      <c r="AI172" s="97"/>
      <c r="AJ172" s="98"/>
      <c r="AK172" s="102"/>
      <c r="AL172" s="103"/>
      <c r="AM172" s="93"/>
      <c r="AN172" s="94"/>
      <c r="AO172" s="94"/>
      <c r="AP172" s="95"/>
      <c r="AQ172" s="100"/>
      <c r="AR172" s="97"/>
      <c r="AS172" s="128"/>
      <c r="AT172" s="128"/>
      <c r="AU172" s="104"/>
      <c r="AV172" s="97"/>
      <c r="AW172" s="98"/>
      <c r="AX172" s="94"/>
      <c r="AY172" s="239"/>
      <c r="BB172" s="97"/>
      <c r="BC172" s="105"/>
      <c r="BG172" s="147" t="s">
        <v>1</v>
      </c>
      <c r="BH172" s="52">
        <f>Q188/1000</f>
        <v>0</v>
      </c>
      <c r="BI172" s="52">
        <f>AJ188/1000</f>
        <v>0</v>
      </c>
      <c r="BJ172" s="52">
        <f>BB188/1000</f>
        <v>0</v>
      </c>
      <c r="BK172" s="137" t="e">
        <f t="shared" si="15"/>
        <v>#DIV/0!</v>
      </c>
      <c r="BL172" s="52">
        <f t="shared" si="16"/>
        <v>0</v>
      </c>
      <c r="BM172" s="6"/>
      <c r="BN172" s="6"/>
      <c r="BO172" s="6"/>
    </row>
    <row r="173" spans="1:67">
      <c r="A173" s="699"/>
      <c r="B173" s="23"/>
      <c r="C173" s="17" t="s">
        <v>33</v>
      </c>
      <c r="D173" s="57"/>
      <c r="E173" s="2"/>
      <c r="F173" s="2"/>
      <c r="G173" s="63"/>
      <c r="H173" s="2"/>
      <c r="I173" s="20"/>
      <c r="J173" s="21"/>
      <c r="K173" s="21"/>
      <c r="L173" s="22"/>
      <c r="M173" s="2"/>
      <c r="N173" s="23"/>
      <c r="O173" s="19"/>
      <c r="P173" s="19"/>
      <c r="Q173" s="19"/>
      <c r="R173" s="33"/>
      <c r="T173" s="57"/>
      <c r="U173" s="2"/>
      <c r="V173" s="2"/>
      <c r="W173" s="199"/>
      <c r="X173" s="198"/>
      <c r="Y173" s="198"/>
      <c r="Z173" s="198"/>
      <c r="AA173" s="274"/>
      <c r="AB173" s="21"/>
      <c r="AC173" s="21"/>
      <c r="AD173" s="21"/>
      <c r="AE173" s="21"/>
      <c r="AF173" s="70"/>
      <c r="AG173" s="20"/>
      <c r="AH173" s="21"/>
      <c r="AI173" s="21"/>
      <c r="AJ173" s="22"/>
      <c r="AK173" s="29"/>
      <c r="AL173" s="19"/>
      <c r="AM173" s="57"/>
      <c r="AN173" s="2"/>
      <c r="AO173" s="2"/>
      <c r="AP173" s="63"/>
      <c r="AQ173" s="68"/>
      <c r="AR173" s="21"/>
      <c r="AS173" s="21"/>
      <c r="AT173" s="21"/>
      <c r="AU173" s="240"/>
      <c r="AV173" s="19"/>
      <c r="AW173" s="195"/>
      <c r="AX173" s="2"/>
      <c r="AY173" s="238"/>
      <c r="BB173" s="19"/>
      <c r="BC173" s="24"/>
      <c r="BG173" s="142"/>
    </row>
    <row r="174" spans="1:67">
      <c r="A174" s="699"/>
      <c r="B174" s="23"/>
      <c r="C174" s="17" t="s">
        <v>34</v>
      </c>
      <c r="D174" s="57"/>
      <c r="E174" s="2"/>
      <c r="F174" s="2"/>
      <c r="G174" s="63"/>
      <c r="H174" s="2"/>
      <c r="I174" s="20"/>
      <c r="J174" s="21"/>
      <c r="K174" s="21"/>
      <c r="L174" s="22"/>
      <c r="M174" s="2"/>
      <c r="N174" s="23"/>
      <c r="O174" s="19"/>
      <c r="P174" s="19"/>
      <c r="Q174" s="19"/>
      <c r="R174" s="33"/>
      <c r="T174" s="57"/>
      <c r="U174" s="2"/>
      <c r="V174" s="2"/>
      <c r="W174" s="199"/>
      <c r="X174" s="198"/>
      <c r="Y174" s="198"/>
      <c r="Z174" s="198"/>
      <c r="AA174" s="274"/>
      <c r="AB174" s="21"/>
      <c r="AC174" s="21"/>
      <c r="AD174" s="21"/>
      <c r="AE174" s="21"/>
      <c r="AF174" s="70"/>
      <c r="AG174" s="20"/>
      <c r="AH174" s="21"/>
      <c r="AI174" s="21"/>
      <c r="AJ174" s="22"/>
      <c r="AK174" s="29"/>
      <c r="AL174" s="19"/>
      <c r="AM174" s="57"/>
      <c r="AN174" s="2"/>
      <c r="AO174" s="2"/>
      <c r="AP174" s="63"/>
      <c r="AQ174" s="68"/>
      <c r="AR174" s="21"/>
      <c r="AS174" s="21"/>
      <c r="AT174" s="21"/>
      <c r="AU174" s="240"/>
      <c r="AV174" s="19"/>
      <c r="AW174" s="195"/>
      <c r="AX174" s="2"/>
      <c r="AY174" s="238"/>
      <c r="BB174" s="19"/>
      <c r="BC174" s="24"/>
    </row>
    <row r="175" spans="1:67">
      <c r="A175" s="699"/>
      <c r="B175" s="23"/>
      <c r="C175" s="17" t="s">
        <v>35</v>
      </c>
      <c r="D175" s="57"/>
      <c r="E175" s="2"/>
      <c r="F175" s="2"/>
      <c r="G175" s="63"/>
      <c r="H175" s="2"/>
      <c r="I175" s="20"/>
      <c r="J175" s="21"/>
      <c r="K175" s="21"/>
      <c r="L175" s="22"/>
      <c r="M175" s="2"/>
      <c r="N175" s="23"/>
      <c r="O175" s="19"/>
      <c r="P175" s="19"/>
      <c r="Q175" s="19"/>
      <c r="R175" s="33"/>
      <c r="T175" s="57"/>
      <c r="U175" s="2"/>
      <c r="V175" s="2"/>
      <c r="W175" s="199"/>
      <c r="X175" s="198"/>
      <c r="Y175" s="198"/>
      <c r="Z175" s="198"/>
      <c r="AA175" s="274"/>
      <c r="AB175" s="21"/>
      <c r="AC175" s="21"/>
      <c r="AD175" s="21"/>
      <c r="AE175" s="21"/>
      <c r="AF175" s="70"/>
      <c r="AG175" s="20"/>
      <c r="AH175" s="21"/>
      <c r="AI175" s="21"/>
      <c r="AJ175" s="22"/>
      <c r="AK175" s="29"/>
      <c r="AL175" s="19"/>
      <c r="AM175" s="57"/>
      <c r="AN175" s="2"/>
      <c r="AO175" s="2"/>
      <c r="AP175" s="63"/>
      <c r="AQ175" s="68"/>
      <c r="AR175" s="21"/>
      <c r="AS175" s="21"/>
      <c r="AT175" s="21"/>
      <c r="AU175" s="240"/>
      <c r="AV175" s="19"/>
      <c r="AW175" s="195"/>
      <c r="AX175" s="2"/>
      <c r="AY175" s="238"/>
      <c r="BB175" s="19"/>
      <c r="BC175" s="24"/>
    </row>
    <row r="176" spans="1:67">
      <c r="A176" s="699"/>
      <c r="B176" s="23"/>
      <c r="C176" s="17" t="s">
        <v>36</v>
      </c>
      <c r="D176" s="57"/>
      <c r="E176" s="2"/>
      <c r="F176" s="2"/>
      <c r="G176" s="63"/>
      <c r="H176" s="2"/>
      <c r="I176" s="20"/>
      <c r="J176" s="21"/>
      <c r="K176" s="21"/>
      <c r="L176" s="22"/>
      <c r="M176" s="2"/>
      <c r="N176" s="23"/>
      <c r="O176" s="19"/>
      <c r="P176" s="19"/>
      <c r="Q176" s="19"/>
      <c r="R176" s="33"/>
      <c r="T176" s="57"/>
      <c r="U176" s="2"/>
      <c r="V176" s="2"/>
      <c r="W176" s="199"/>
      <c r="X176" s="198"/>
      <c r="Y176" s="198"/>
      <c r="Z176" s="198"/>
      <c r="AA176" s="274"/>
      <c r="AB176" s="21"/>
      <c r="AC176" s="21"/>
      <c r="AD176" s="21"/>
      <c r="AE176" s="21"/>
      <c r="AF176" s="70"/>
      <c r="AG176" s="20"/>
      <c r="AH176" s="21"/>
      <c r="AI176" s="21"/>
      <c r="AJ176" s="22"/>
      <c r="AK176" s="29"/>
      <c r="AL176" s="19"/>
      <c r="AM176" s="57"/>
      <c r="AN176" s="2"/>
      <c r="AO176" s="2"/>
      <c r="AP176" s="63"/>
      <c r="AQ176" s="68"/>
      <c r="AR176" s="21"/>
      <c r="AS176" s="21"/>
      <c r="AT176" s="21"/>
      <c r="AU176" s="240"/>
      <c r="AV176" s="19"/>
      <c r="AW176" s="195"/>
      <c r="AX176" s="2"/>
      <c r="AY176" s="238"/>
      <c r="BB176" s="19"/>
      <c r="BC176" s="24"/>
    </row>
    <row r="177" spans="1:59" s="90" customFormat="1">
      <c r="A177" s="699"/>
      <c r="B177" s="91" t="s">
        <v>43</v>
      </c>
      <c r="C177" s="92"/>
      <c r="D177" s="93"/>
      <c r="E177" s="94"/>
      <c r="F177" s="94"/>
      <c r="G177" s="95"/>
      <c r="H177" s="94"/>
      <c r="I177" s="96"/>
      <c r="J177" s="97"/>
      <c r="K177" s="97"/>
      <c r="L177" s="98"/>
      <c r="M177" s="94"/>
      <c r="N177" s="96"/>
      <c r="O177" s="97"/>
      <c r="P177" s="97"/>
      <c r="Q177" s="97"/>
      <c r="R177" s="99"/>
      <c r="T177" s="93"/>
      <c r="U177" s="94"/>
      <c r="V177" s="94"/>
      <c r="W177" s="211"/>
      <c r="X177" s="289"/>
      <c r="Y177" s="289"/>
      <c r="Z177" s="289"/>
      <c r="AA177" s="280"/>
      <c r="AB177" s="97"/>
      <c r="AC177" s="97"/>
      <c r="AD177" s="97"/>
      <c r="AE177" s="97"/>
      <c r="AF177" s="101"/>
      <c r="AG177" s="96"/>
      <c r="AH177" s="97"/>
      <c r="AI177" s="97"/>
      <c r="AJ177" s="98"/>
      <c r="AK177" s="102"/>
      <c r="AL177" s="103"/>
      <c r="AM177" s="93"/>
      <c r="AN177" s="94"/>
      <c r="AO177" s="94"/>
      <c r="AP177" s="95"/>
      <c r="AQ177" s="100"/>
      <c r="AR177" s="97"/>
      <c r="AS177" s="97"/>
      <c r="AT177" s="97"/>
      <c r="AU177" s="104"/>
      <c r="AV177" s="97"/>
      <c r="AW177" s="98"/>
      <c r="AX177" s="94"/>
      <c r="AY177" s="239"/>
      <c r="BB177" s="97"/>
      <c r="BC177" s="105"/>
      <c r="BG177" s="143"/>
    </row>
    <row r="178" spans="1:59" s="106" customFormat="1">
      <c r="A178" s="699"/>
      <c r="B178" s="107" t="s">
        <v>67</v>
      </c>
      <c r="C178" s="108"/>
      <c r="D178" s="109"/>
      <c r="E178" s="110"/>
      <c r="F178" s="110"/>
      <c r="G178" s="111"/>
      <c r="H178" s="110"/>
      <c r="I178" s="112"/>
      <c r="J178" s="113"/>
      <c r="K178" s="113"/>
      <c r="L178" s="114"/>
      <c r="M178" s="110"/>
      <c r="N178" s="112"/>
      <c r="O178" s="113"/>
      <c r="P178" s="113"/>
      <c r="Q178" s="114"/>
      <c r="R178" s="115"/>
      <c r="T178" s="202"/>
      <c r="U178" s="130"/>
      <c r="V178" s="130"/>
      <c r="W178" s="203"/>
      <c r="X178" s="130"/>
      <c r="Y178" s="130"/>
      <c r="Z178" s="130"/>
      <c r="AA178" s="276"/>
      <c r="AB178" s="113"/>
      <c r="AC178" s="113"/>
      <c r="AD178" s="113"/>
      <c r="AE178" s="113"/>
      <c r="AF178" s="117"/>
      <c r="AG178" s="112"/>
      <c r="AH178" s="113"/>
      <c r="AI178" s="113"/>
      <c r="AJ178" s="114"/>
      <c r="AK178" s="115"/>
      <c r="AL178" s="119"/>
      <c r="AM178" s="109"/>
      <c r="AN178" s="110"/>
      <c r="AO178" s="110"/>
      <c r="AP178" s="111"/>
      <c r="AQ178" s="116"/>
      <c r="AR178" s="113"/>
      <c r="AS178" s="113"/>
      <c r="AT178" s="113"/>
      <c r="AU178" s="120"/>
      <c r="AV178" s="113"/>
      <c r="AW178" s="114"/>
      <c r="AX178" s="110"/>
      <c r="AY178" s="237"/>
      <c r="BB178" s="113"/>
      <c r="BC178" s="118"/>
      <c r="BG178" s="144"/>
    </row>
    <row r="179" spans="1:59" s="106" customFormat="1">
      <c r="A179" s="699"/>
      <c r="B179" s="37" t="s">
        <v>8</v>
      </c>
      <c r="C179" s="129" t="s">
        <v>8</v>
      </c>
      <c r="D179" s="109"/>
      <c r="E179" s="110"/>
      <c r="F179" s="110"/>
      <c r="G179" s="111"/>
      <c r="H179" s="110"/>
      <c r="I179" s="112"/>
      <c r="J179" s="113"/>
      <c r="K179" s="113"/>
      <c r="L179" s="114"/>
      <c r="M179" s="110"/>
      <c r="N179" s="112"/>
      <c r="O179" s="113"/>
      <c r="P179" s="113"/>
      <c r="Q179" s="114"/>
      <c r="R179" s="115"/>
      <c r="T179" s="109"/>
      <c r="U179" s="110"/>
      <c r="V179" s="110"/>
      <c r="W179" s="199"/>
      <c r="X179" s="198"/>
      <c r="Y179" s="198"/>
      <c r="Z179" s="198"/>
      <c r="AA179" s="276"/>
      <c r="AB179" s="113"/>
      <c r="AC179" s="113"/>
      <c r="AD179" s="113"/>
      <c r="AE179" s="113"/>
      <c r="AF179" s="117"/>
      <c r="AG179" s="112"/>
      <c r="AH179" s="113"/>
      <c r="AI179" s="113"/>
      <c r="AJ179" s="114"/>
      <c r="AK179" s="118"/>
      <c r="AL179" s="119"/>
      <c r="AM179" s="109"/>
      <c r="AN179" s="110"/>
      <c r="AO179" s="110"/>
      <c r="AP179" s="111"/>
      <c r="AQ179" s="116"/>
      <c r="AR179" s="113"/>
      <c r="AS179" s="113"/>
      <c r="AT179" s="113"/>
      <c r="AU179" s="120"/>
      <c r="AV179" s="113"/>
      <c r="AW179" s="114"/>
      <c r="AX179" s="110"/>
      <c r="AY179" s="237"/>
      <c r="BB179" s="113"/>
      <c r="BC179" s="121"/>
      <c r="BG179" s="144"/>
    </row>
    <row r="180" spans="1:59">
      <c r="A180" s="699"/>
      <c r="B180" s="23" t="s">
        <v>7</v>
      </c>
      <c r="C180" s="17" t="s">
        <v>9</v>
      </c>
      <c r="D180" s="57"/>
      <c r="E180" s="2"/>
      <c r="F180" s="2"/>
      <c r="G180" s="63"/>
      <c r="H180" s="2"/>
      <c r="I180" s="20"/>
      <c r="J180" s="21"/>
      <c r="K180" s="21"/>
      <c r="L180" s="22"/>
      <c r="M180" s="2"/>
      <c r="N180" s="20"/>
      <c r="O180" s="21"/>
      <c r="P180" s="21"/>
      <c r="Q180" s="22"/>
      <c r="R180" s="34"/>
      <c r="T180" s="57"/>
      <c r="U180" s="2"/>
      <c r="V180" s="2"/>
      <c r="W180" s="199"/>
      <c r="X180" s="198"/>
      <c r="Y180" s="198"/>
      <c r="Z180" s="198"/>
      <c r="AA180" s="274"/>
      <c r="AB180" s="21"/>
      <c r="AC180" s="21"/>
      <c r="AD180" s="21"/>
      <c r="AE180" s="21"/>
      <c r="AF180" s="70"/>
      <c r="AG180" s="20"/>
      <c r="AH180" s="21"/>
      <c r="AI180" s="21"/>
      <c r="AJ180" s="22"/>
      <c r="AK180" s="29"/>
      <c r="AL180" s="19"/>
      <c r="AM180" s="57"/>
      <c r="AN180" s="2"/>
      <c r="AO180" s="2"/>
      <c r="AP180" s="63"/>
      <c r="AQ180" s="68"/>
      <c r="AR180" s="21"/>
      <c r="AS180" s="35"/>
      <c r="AT180" s="21"/>
      <c r="AU180" s="25"/>
      <c r="AV180" s="21"/>
      <c r="AW180" s="22"/>
      <c r="AX180" s="2"/>
      <c r="AY180" s="238"/>
      <c r="BB180" s="21"/>
      <c r="BC180" s="29"/>
    </row>
    <row r="181" spans="1:59">
      <c r="A181" s="699"/>
      <c r="B181" s="23"/>
      <c r="C181" s="17" t="s">
        <v>10</v>
      </c>
      <c r="D181" s="57"/>
      <c r="E181" s="2"/>
      <c r="F181" s="2"/>
      <c r="G181" s="63"/>
      <c r="H181" s="2"/>
      <c r="I181" s="20"/>
      <c r="J181" s="21"/>
      <c r="K181" s="21"/>
      <c r="L181" s="22"/>
      <c r="M181" s="2"/>
      <c r="N181" s="20"/>
      <c r="O181" s="21"/>
      <c r="P181" s="21"/>
      <c r="Q181" s="22"/>
      <c r="R181" s="33"/>
      <c r="T181" s="57"/>
      <c r="U181" s="2"/>
      <c r="V181" s="2"/>
      <c r="W181" s="199"/>
      <c r="X181" s="198"/>
      <c r="Y181" s="198"/>
      <c r="Z181" s="198"/>
      <c r="AA181" s="274"/>
      <c r="AB181" s="21"/>
      <c r="AC181" s="21"/>
      <c r="AD181" s="21"/>
      <c r="AE181" s="21"/>
      <c r="AF181" s="70"/>
      <c r="AG181" s="20"/>
      <c r="AH181" s="21"/>
      <c r="AI181" s="21"/>
      <c r="AJ181" s="22"/>
      <c r="AK181" s="29"/>
      <c r="AL181" s="19"/>
      <c r="AM181" s="57"/>
      <c r="AN181" s="2"/>
      <c r="AO181" s="2"/>
      <c r="AP181" s="63"/>
      <c r="AQ181" s="68"/>
      <c r="AR181" s="21"/>
      <c r="AS181" s="21"/>
      <c r="AT181" s="21"/>
      <c r="AU181" s="240"/>
      <c r="AV181" s="21"/>
      <c r="AW181" s="195"/>
      <c r="AX181" s="2"/>
      <c r="AY181" s="238"/>
      <c r="BB181" s="21"/>
      <c r="BC181" s="29"/>
    </row>
    <row r="182" spans="1:59" s="106" customFormat="1">
      <c r="A182" s="699"/>
      <c r="B182" s="107" t="s">
        <v>67</v>
      </c>
      <c r="C182" s="108"/>
      <c r="D182" s="109"/>
      <c r="E182" s="110"/>
      <c r="F182" s="110"/>
      <c r="G182" s="111"/>
      <c r="H182" s="110"/>
      <c r="I182" s="112"/>
      <c r="J182" s="113"/>
      <c r="K182" s="113"/>
      <c r="L182" s="114"/>
      <c r="M182" s="110"/>
      <c r="N182" s="112"/>
      <c r="O182" s="113"/>
      <c r="P182" s="113"/>
      <c r="Q182" s="114"/>
      <c r="R182" s="115"/>
      <c r="T182" s="109"/>
      <c r="U182" s="110"/>
      <c r="V182" s="110"/>
      <c r="W182" s="203"/>
      <c r="X182" s="130"/>
      <c r="Y182" s="130"/>
      <c r="Z182" s="130"/>
      <c r="AA182" s="276"/>
      <c r="AB182" s="113"/>
      <c r="AC182" s="113"/>
      <c r="AD182" s="113"/>
      <c r="AE182" s="113"/>
      <c r="AF182" s="117"/>
      <c r="AG182" s="112"/>
      <c r="AH182" s="113"/>
      <c r="AI182" s="113"/>
      <c r="AJ182" s="114"/>
      <c r="AK182" s="118"/>
      <c r="AL182" s="119"/>
      <c r="AM182" s="109"/>
      <c r="AN182" s="110"/>
      <c r="AO182" s="110"/>
      <c r="AP182" s="111"/>
      <c r="AQ182" s="116"/>
      <c r="AR182" s="113"/>
      <c r="AS182" s="113"/>
      <c r="AT182" s="113"/>
      <c r="AU182" s="120"/>
      <c r="AV182" s="113"/>
      <c r="AW182" s="114"/>
      <c r="AX182" s="110"/>
      <c r="AY182" s="241"/>
      <c r="AZ182" s="242"/>
      <c r="BA182" s="242"/>
      <c r="BB182" s="114"/>
      <c r="BC182" s="118"/>
      <c r="BD182" s="122"/>
      <c r="BG182" s="144"/>
    </row>
    <row r="183" spans="1:59">
      <c r="A183" s="699"/>
      <c r="B183" s="23" t="s">
        <v>11</v>
      </c>
      <c r="C183" s="17" t="s">
        <v>12</v>
      </c>
      <c r="D183" s="57"/>
      <c r="E183" s="2"/>
      <c r="F183" s="2"/>
      <c r="G183" s="63"/>
      <c r="H183" s="2"/>
      <c r="I183" s="20"/>
      <c r="J183" s="21"/>
      <c r="K183" s="21"/>
      <c r="L183" s="22"/>
      <c r="M183" s="2"/>
      <c r="N183" s="20"/>
      <c r="O183" s="21"/>
      <c r="P183" s="21"/>
      <c r="Q183" s="22"/>
      <c r="R183" s="33"/>
      <c r="T183" s="57"/>
      <c r="U183" s="2"/>
      <c r="V183" s="2"/>
      <c r="W183" s="199"/>
      <c r="X183" s="198"/>
      <c r="Y183" s="198"/>
      <c r="Z183" s="198"/>
      <c r="AA183" s="274"/>
      <c r="AB183" s="21"/>
      <c r="AC183" s="21"/>
      <c r="AD183" s="21"/>
      <c r="AE183" s="21"/>
      <c r="AF183" s="70"/>
      <c r="AG183" s="20"/>
      <c r="AH183" s="21"/>
      <c r="AI183" s="21"/>
      <c r="AJ183" s="22"/>
      <c r="AK183" s="29"/>
      <c r="AL183" s="19"/>
      <c r="AM183" s="57"/>
      <c r="AN183" s="2"/>
      <c r="AO183" s="2"/>
      <c r="AP183" s="63"/>
      <c r="AQ183" s="68"/>
      <c r="AR183" s="21"/>
      <c r="AS183" s="21"/>
      <c r="AT183" s="21"/>
      <c r="AU183" s="25"/>
      <c r="AV183" s="21"/>
      <c r="AW183" s="22"/>
      <c r="AX183" s="2"/>
      <c r="AY183" s="23"/>
      <c r="AZ183" s="19"/>
      <c r="BA183" s="19"/>
      <c r="BB183" s="19"/>
      <c r="BC183" s="24"/>
    </row>
    <row r="184" spans="1:59">
      <c r="A184" s="699"/>
      <c r="B184" s="23"/>
      <c r="C184" s="17" t="s">
        <v>13</v>
      </c>
      <c r="D184" s="57"/>
      <c r="E184" s="2"/>
      <c r="F184" s="2"/>
      <c r="G184" s="156"/>
      <c r="H184" s="3"/>
      <c r="I184" s="20"/>
      <c r="J184" s="21"/>
      <c r="K184" s="21"/>
      <c r="L184" s="22"/>
      <c r="M184" s="83"/>
      <c r="N184" s="20"/>
      <c r="O184" s="21"/>
      <c r="P184" s="21"/>
      <c r="Q184" s="22"/>
      <c r="R184" s="34"/>
      <c r="T184" s="57"/>
      <c r="U184" s="2"/>
      <c r="V184" s="2"/>
      <c r="W184" s="199"/>
      <c r="X184" s="198"/>
      <c r="Y184" s="198"/>
      <c r="Z184" s="198"/>
      <c r="AA184" s="282"/>
      <c r="AB184" s="21"/>
      <c r="AC184" s="21"/>
      <c r="AD184" s="21"/>
      <c r="AE184" s="21"/>
      <c r="AF184" s="70"/>
      <c r="AG184" s="20"/>
      <c r="AH184" s="21"/>
      <c r="AI184" s="21"/>
      <c r="AJ184" s="22"/>
      <c r="AK184" s="29"/>
      <c r="AL184" s="19"/>
      <c r="AM184" s="57"/>
      <c r="AN184" s="2"/>
      <c r="AO184" s="2"/>
      <c r="AP184" s="64"/>
      <c r="AQ184" s="69"/>
      <c r="AR184" s="21"/>
      <c r="AS184" s="21"/>
      <c r="AT184" s="21"/>
      <c r="AU184" s="25"/>
      <c r="AV184" s="21"/>
      <c r="AW184" s="22"/>
      <c r="AX184" s="2"/>
      <c r="AY184" s="20"/>
      <c r="AZ184" s="21"/>
      <c r="BA184" s="21"/>
      <c r="BB184" s="21"/>
      <c r="BC184" s="24"/>
    </row>
    <row r="185" spans="1:59">
      <c r="A185" s="699"/>
      <c r="B185" s="23"/>
      <c r="C185" s="17" t="s">
        <v>14</v>
      </c>
      <c r="D185" s="57"/>
      <c r="E185" s="2"/>
      <c r="F185" s="2"/>
      <c r="G185" s="156"/>
      <c r="H185" s="3"/>
      <c r="I185" s="20"/>
      <c r="J185" s="21"/>
      <c r="K185" s="21"/>
      <c r="L185" s="22"/>
      <c r="M185" s="83"/>
      <c r="N185" s="20"/>
      <c r="O185" s="21"/>
      <c r="P185" s="21"/>
      <c r="Q185" s="22"/>
      <c r="R185" s="34"/>
      <c r="T185" s="57"/>
      <c r="U185" s="2"/>
      <c r="V185" s="2"/>
      <c r="W185" s="199"/>
      <c r="X185" s="198"/>
      <c r="Y185" s="198"/>
      <c r="Z185" s="198"/>
      <c r="AA185" s="282"/>
      <c r="AB185" s="21"/>
      <c r="AC185" s="21"/>
      <c r="AD185" s="21"/>
      <c r="AE185" s="21"/>
      <c r="AF185" s="70"/>
      <c r="AG185" s="20"/>
      <c r="AH185" s="21"/>
      <c r="AI185" s="21"/>
      <c r="AJ185" s="22"/>
      <c r="AK185" s="29"/>
      <c r="AL185" s="19"/>
      <c r="AM185" s="57"/>
      <c r="AN185" s="2"/>
      <c r="AO185" s="2"/>
      <c r="AP185" s="64"/>
      <c r="AQ185" s="69"/>
      <c r="AR185" s="21"/>
      <c r="AS185" s="21"/>
      <c r="AT185" s="21"/>
      <c r="AU185" s="25"/>
      <c r="AV185" s="21"/>
      <c r="AW185" s="22"/>
      <c r="AX185" s="2"/>
      <c r="AY185" s="23"/>
      <c r="AZ185" s="19"/>
      <c r="BA185" s="19"/>
      <c r="BB185" s="21"/>
      <c r="BC185" s="24"/>
    </row>
    <row r="186" spans="1:59">
      <c r="A186" s="699"/>
      <c r="B186" s="23"/>
      <c r="C186" s="17" t="s">
        <v>15</v>
      </c>
      <c r="D186" s="57"/>
      <c r="E186" s="2"/>
      <c r="F186" s="2"/>
      <c r="G186" s="156"/>
      <c r="H186" s="3"/>
      <c r="I186" s="20"/>
      <c r="J186" s="21"/>
      <c r="K186" s="21"/>
      <c r="L186" s="22"/>
      <c r="M186" s="83"/>
      <c r="N186" s="20"/>
      <c r="O186" s="21"/>
      <c r="P186" s="21"/>
      <c r="Q186" s="22"/>
      <c r="R186" s="34"/>
      <c r="T186" s="57"/>
      <c r="U186" s="2"/>
      <c r="V186" s="2"/>
      <c r="W186" s="199"/>
      <c r="X186" s="198"/>
      <c r="Y186" s="198"/>
      <c r="Z186" s="198"/>
      <c r="AA186" s="282"/>
      <c r="AB186" s="21"/>
      <c r="AC186" s="21"/>
      <c r="AD186" s="21"/>
      <c r="AE186" s="21"/>
      <c r="AF186" s="70"/>
      <c r="AG186" s="20"/>
      <c r="AH186" s="21"/>
      <c r="AI186" s="21"/>
      <c r="AJ186" s="22"/>
      <c r="AK186" s="29"/>
      <c r="AL186" s="19"/>
      <c r="AM186" s="57"/>
      <c r="AN186" s="2"/>
      <c r="AO186" s="2"/>
      <c r="AP186" s="64"/>
      <c r="AQ186" s="69"/>
      <c r="AR186" s="21"/>
      <c r="AS186" s="21"/>
      <c r="AT186" s="21"/>
      <c r="AU186" s="25"/>
      <c r="AV186" s="21"/>
      <c r="AW186" s="22"/>
      <c r="AX186" s="2"/>
      <c r="AY186" s="23"/>
      <c r="AZ186" s="19"/>
      <c r="BA186" s="19"/>
      <c r="BB186" s="21"/>
      <c r="BC186" s="24"/>
    </row>
    <row r="187" spans="1:59" s="106" customFormat="1">
      <c r="A187" s="699"/>
      <c r="B187" s="107" t="s">
        <v>67</v>
      </c>
      <c r="C187" s="108"/>
      <c r="D187" s="109"/>
      <c r="E187" s="110"/>
      <c r="F187" s="110"/>
      <c r="G187" s="124"/>
      <c r="H187" s="125"/>
      <c r="I187" s="112"/>
      <c r="J187" s="113"/>
      <c r="K187" s="113"/>
      <c r="L187" s="114"/>
      <c r="M187" s="110"/>
      <c r="N187" s="112"/>
      <c r="O187" s="113"/>
      <c r="P187" s="113"/>
      <c r="Q187" s="114"/>
      <c r="R187" s="115"/>
      <c r="T187" s="109"/>
      <c r="U187" s="110"/>
      <c r="V187" s="110"/>
      <c r="W187" s="203"/>
      <c r="X187" s="130"/>
      <c r="Y187" s="130"/>
      <c r="Z187" s="130"/>
      <c r="AA187" s="284"/>
      <c r="AB187" s="113"/>
      <c r="AC187" s="113"/>
      <c r="AD187" s="113"/>
      <c r="AE187" s="113"/>
      <c r="AF187" s="117"/>
      <c r="AG187" s="112"/>
      <c r="AH187" s="113"/>
      <c r="AI187" s="113"/>
      <c r="AJ187" s="114"/>
      <c r="AK187" s="118"/>
      <c r="AL187" s="119"/>
      <c r="AM187" s="109"/>
      <c r="AN187" s="110"/>
      <c r="AO187" s="110"/>
      <c r="AP187" s="124"/>
      <c r="AQ187" s="126"/>
      <c r="AR187" s="113"/>
      <c r="AS187" s="113"/>
      <c r="AT187" s="113"/>
      <c r="AU187" s="120"/>
      <c r="AV187" s="113"/>
      <c r="AW187" s="114"/>
      <c r="AX187" s="110"/>
      <c r="AY187" s="127"/>
      <c r="AZ187" s="119"/>
      <c r="BA187" s="119"/>
      <c r="BB187" s="113"/>
      <c r="BC187" s="121"/>
      <c r="BG187" s="144"/>
    </row>
    <row r="188" spans="1:59" s="106" customFormat="1" ht="13.5" thickBot="1">
      <c r="A188" s="699"/>
      <c r="B188" s="131" t="s">
        <v>37</v>
      </c>
      <c r="C188" s="132" t="s">
        <v>1</v>
      </c>
      <c r="D188" s="109"/>
      <c r="E188" s="110"/>
      <c r="F188" s="110"/>
      <c r="G188" s="203"/>
      <c r="H188" s="130"/>
      <c r="I188" s="112"/>
      <c r="J188" s="113"/>
      <c r="K188" s="113"/>
      <c r="L188" s="114"/>
      <c r="M188" s="110"/>
      <c r="N188" s="127"/>
      <c r="O188" s="119"/>
      <c r="P188" s="119"/>
      <c r="Q188" s="113"/>
      <c r="R188" s="115"/>
      <c r="T188" s="109"/>
      <c r="U188" s="110"/>
      <c r="V188" s="110"/>
      <c r="W188" s="203"/>
      <c r="X188" s="130"/>
      <c r="Y188" s="130"/>
      <c r="Z188" s="130"/>
      <c r="AA188" s="285"/>
      <c r="AB188" s="113"/>
      <c r="AC188" s="113"/>
      <c r="AD188" s="113"/>
      <c r="AE188" s="113"/>
      <c r="AF188" s="117"/>
      <c r="AG188" s="112"/>
      <c r="AH188" s="113"/>
      <c r="AI188" s="113"/>
      <c r="AJ188" s="114"/>
      <c r="AK188" s="115"/>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59" ht="13.5" thickBot="1">
      <c r="B189" s="19"/>
      <c r="C189" s="38"/>
      <c r="D189" s="57"/>
      <c r="E189" s="2"/>
      <c r="F189" s="2"/>
      <c r="G189" s="63"/>
      <c r="H189" s="2"/>
      <c r="I189" s="20"/>
      <c r="J189" s="21"/>
      <c r="K189" s="21"/>
      <c r="L189" s="22"/>
      <c r="M189" s="2"/>
      <c r="N189" s="23"/>
      <c r="O189" s="19"/>
      <c r="P189" s="19"/>
      <c r="Q189" s="19"/>
      <c r="R189" s="24"/>
      <c r="T189" s="57"/>
      <c r="U189" s="2"/>
      <c r="V189" s="2"/>
      <c r="W189" s="63"/>
      <c r="X189" s="2"/>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row>
    <row r="190" spans="1:59" ht="13.5" thickBot="1">
      <c r="C190" s="39" t="s">
        <v>38</v>
      </c>
      <c r="D190" s="58"/>
      <c r="E190" s="59"/>
      <c r="F190" s="2"/>
      <c r="G190" s="65"/>
      <c r="H190" s="2"/>
      <c r="I190" s="20"/>
      <c r="J190" s="21"/>
      <c r="K190" s="21"/>
      <c r="L190" s="22"/>
      <c r="M190" s="2"/>
      <c r="N190" s="23"/>
      <c r="O190" s="19"/>
      <c r="P190" s="19"/>
      <c r="Q190" s="19"/>
      <c r="R190" s="24"/>
      <c r="T190" s="58"/>
      <c r="U190" s="59"/>
      <c r="V190" s="2"/>
      <c r="W190" s="65"/>
      <c r="X190" s="198"/>
      <c r="Y190" s="198"/>
      <c r="Z190" s="198"/>
      <c r="AA190" s="274"/>
      <c r="AB190" s="21"/>
      <c r="AC190" s="21"/>
      <c r="AD190" s="21"/>
      <c r="AE190" s="21"/>
      <c r="AF190" s="70"/>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59" ht="13.5" thickBot="1">
      <c r="C191" s="135" t="s">
        <v>92</v>
      </c>
      <c r="D191" s="134"/>
      <c r="E191" s="134"/>
      <c r="F191" s="134"/>
      <c r="G191" s="66"/>
      <c r="H191" s="257"/>
      <c r="I191" s="41"/>
      <c r="J191" s="218"/>
      <c r="K191" s="218"/>
      <c r="L191" s="42"/>
      <c r="M191" s="43"/>
      <c r="N191" s="44"/>
      <c r="O191" s="45"/>
      <c r="P191" s="45"/>
      <c r="Q191" s="133"/>
      <c r="R191" s="27"/>
      <c r="T191" s="60"/>
      <c r="U191" s="706"/>
      <c r="V191" s="707"/>
      <c r="W191" s="66"/>
      <c r="X191" s="362"/>
      <c r="Y191" s="362"/>
      <c r="Z191" s="362"/>
      <c r="AA191" s="287"/>
      <c r="AB191" s="45"/>
      <c r="AC191" s="45"/>
      <c r="AD191" s="45"/>
      <c r="AE191" s="45"/>
      <c r="AF191" s="85"/>
      <c r="AG191" s="44"/>
      <c r="AH191" s="45"/>
      <c r="AI191" s="45"/>
      <c r="AJ191" s="354"/>
      <c r="AK191" s="27"/>
      <c r="AL191" s="19"/>
      <c r="AM191" s="60"/>
      <c r="AN191" s="706"/>
      <c r="AO191" s="707"/>
      <c r="AP191" s="66"/>
      <c r="AQ191" s="71"/>
      <c r="AR191" s="45"/>
      <c r="AS191" s="46"/>
      <c r="AT191" s="45"/>
      <c r="AU191" s="47"/>
      <c r="AV191" s="45"/>
      <c r="AW191" s="214"/>
      <c r="AX191" s="43"/>
      <c r="AY191" s="44"/>
      <c r="AZ191" s="45"/>
      <c r="BA191" s="45"/>
      <c r="BB191" s="354"/>
      <c r="BC191" s="27"/>
    </row>
    <row r="192" spans="1:59" ht="13.5" thickBot="1">
      <c r="C192" s="136" t="s">
        <v>65</v>
      </c>
      <c r="I192" s="52"/>
      <c r="Q192" s="49"/>
      <c r="R192" s="50"/>
      <c r="AJ192" s="353"/>
      <c r="AK192" s="216"/>
      <c r="BB192" s="353"/>
      <c r="BC192" s="216"/>
    </row>
    <row r="194" spans="3:3">
      <c r="C194" s="89"/>
    </row>
  </sheetData>
  <mergeCells count="38">
    <mergeCell ref="BC5:BC6"/>
    <mergeCell ref="AK5:AK6"/>
    <mergeCell ref="R5:R6"/>
    <mergeCell ref="B5:B6"/>
    <mergeCell ref="C5:C6"/>
    <mergeCell ref="D5:G5"/>
    <mergeCell ref="H5:H6"/>
    <mergeCell ref="I5:L5"/>
    <mergeCell ref="AY5:BB5"/>
    <mergeCell ref="N4:R4"/>
    <mergeCell ref="N5:Q5"/>
    <mergeCell ref="T5:W5"/>
    <mergeCell ref="AG5:AJ5"/>
    <mergeCell ref="AM5:AP5"/>
    <mergeCell ref="X5:AA5"/>
    <mergeCell ref="T4:AA4"/>
    <mergeCell ref="AN144:AO144"/>
    <mergeCell ref="A7:A47"/>
    <mergeCell ref="BH7:BL7"/>
    <mergeCell ref="BM7:BN7"/>
    <mergeCell ref="BH8:BK8"/>
    <mergeCell ref="AN50:AO50"/>
    <mergeCell ref="A54:A94"/>
    <mergeCell ref="BH54:BL54"/>
    <mergeCell ref="BM54:BN54"/>
    <mergeCell ref="BH55:BK55"/>
    <mergeCell ref="AN97:AO97"/>
    <mergeCell ref="A101:A141"/>
    <mergeCell ref="BH101:BL101"/>
    <mergeCell ref="BM101:BN101"/>
    <mergeCell ref="BH102:BK102"/>
    <mergeCell ref="J24:J25"/>
    <mergeCell ref="A148:A188"/>
    <mergeCell ref="BH148:BL148"/>
    <mergeCell ref="BM148:BN148"/>
    <mergeCell ref="BH149:BK149"/>
    <mergeCell ref="U191:V191"/>
    <mergeCell ref="AN191:AO19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C241"/>
  <sheetViews>
    <sheetView zoomScale="80" zoomScaleNormal="80"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8.85546875" style="6" customWidth="1"/>
    <col min="3" max="3" width="32.7109375" style="6" bestFit="1" customWidth="1"/>
    <col min="4" max="4" width="10.7109375" style="6" hidden="1" customWidth="1"/>
    <col min="5" max="5" width="9.85546875" style="6" hidden="1" customWidth="1"/>
    <col min="6" max="6" width="12.140625" style="6" hidden="1" customWidth="1"/>
    <col min="7" max="7" width="9.85546875" style="6" hidden="1" customWidth="1"/>
    <col min="8" max="8" width="23.85546875" style="6" hidden="1" customWidth="1"/>
    <col min="9" max="11" width="9.85546875" style="6" hidden="1" customWidth="1"/>
    <col min="12" max="12" width="21.42578125" style="6" hidden="1" customWidth="1"/>
    <col min="13" max="13" width="41.5703125" style="6" hidden="1" customWidth="1"/>
    <col min="14" max="14" width="16.7109375" style="6" bestFit="1" customWidth="1"/>
    <col min="15" max="17" width="9.7109375" style="6" customWidth="1"/>
    <col min="18" max="18" width="7.140625" style="6" customWidth="1"/>
    <col min="19" max="19" width="2.7109375" style="6" customWidth="1"/>
    <col min="20" max="26" width="10" style="6" hidden="1" customWidth="1"/>
    <col min="27" max="27" width="13.5703125" style="6" hidden="1" customWidth="1"/>
    <col min="28" max="30" width="8" style="6" hidden="1" customWidth="1"/>
    <col min="31" max="31" width="9.85546875" style="6" hidden="1" customWidth="1"/>
    <col min="32" max="32" width="38.85546875" style="140" hidden="1" customWidth="1"/>
    <col min="33" max="36" width="9.7109375" style="6" customWidth="1"/>
    <col min="37" max="37" width="6.2851562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2.7109375" style="6" hidden="1" customWidth="1"/>
    <col min="45" max="46" width="13.140625" style="6" hidden="1" customWidth="1"/>
    <col min="47" max="49" width="11" style="6" hidden="1" customWidth="1"/>
    <col min="50" max="50" width="53.5703125" style="6" hidden="1" customWidth="1"/>
    <col min="51" max="54" width="9.7109375" style="6" customWidth="1"/>
    <col min="55" max="55" width="6.8554687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16384" width="9.140625" style="6"/>
  </cols>
  <sheetData>
    <row r="1" spans="1:73" s="1" customFormat="1" ht="21">
      <c r="A1" s="1" t="s">
        <v>250</v>
      </c>
      <c r="F1" s="227"/>
      <c r="AF1" s="139"/>
      <c r="BG1" s="139"/>
    </row>
    <row r="2" spans="1:73" s="157" customFormat="1" ht="13.5" thickBot="1">
      <c r="AF2" s="193"/>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223" t="s">
        <v>53</v>
      </c>
      <c r="G4" s="184"/>
      <c r="H4" s="223"/>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559"/>
      <c r="AG4" s="190"/>
      <c r="AH4" s="191" t="s">
        <v>39</v>
      </c>
      <c r="AI4" s="223"/>
      <c r="AJ4" s="223"/>
      <c r="AK4" s="224"/>
      <c r="AL4" s="7"/>
      <c r="AM4" s="181"/>
      <c r="AN4" s="182"/>
      <c r="AO4" s="223" t="s">
        <v>53</v>
      </c>
      <c r="AP4" s="184"/>
      <c r="AQ4" s="188"/>
      <c r="AR4" s="7"/>
      <c r="AS4" s="7"/>
      <c r="AT4" s="7"/>
      <c r="AU4" s="182" t="s">
        <v>41</v>
      </c>
      <c r="AV4" s="186"/>
      <c r="AW4" s="186"/>
      <c r="AX4" s="7"/>
      <c r="AY4" s="190"/>
      <c r="AZ4" s="191" t="s">
        <v>39</v>
      </c>
      <c r="BA4" s="223"/>
      <c r="BB4" s="223"/>
      <c r="BC4" s="224"/>
    </row>
    <row r="5" spans="1:73"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564"/>
      <c r="AG5" s="710" t="s">
        <v>66</v>
      </c>
      <c r="AH5" s="713"/>
      <c r="AI5" s="713"/>
      <c r="AJ5" s="714"/>
      <c r="AK5" s="718" t="s">
        <v>62</v>
      </c>
      <c r="AL5" s="7"/>
      <c r="AM5" s="710" t="s">
        <v>61</v>
      </c>
      <c r="AN5" s="711"/>
      <c r="AO5" s="711"/>
      <c r="AP5" s="711"/>
      <c r="AQ5" s="221" t="s">
        <v>63</v>
      </c>
      <c r="AR5" s="7"/>
      <c r="AS5" s="178" t="s">
        <v>49</v>
      </c>
      <c r="AT5" s="178"/>
      <c r="AU5" s="179"/>
      <c r="AV5" s="15"/>
      <c r="AW5" s="180"/>
      <c r="AX5" s="7"/>
      <c r="AY5" s="710" t="s">
        <v>60</v>
      </c>
      <c r="AZ5" s="711"/>
      <c r="BA5" s="711"/>
      <c r="BB5" s="712"/>
      <c r="BC5" s="718" t="s">
        <v>62</v>
      </c>
      <c r="BD5" s="8"/>
    </row>
    <row r="6" spans="1:73" ht="26.2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0" t="s">
        <v>40</v>
      </c>
      <c r="R6" s="719"/>
      <c r="T6" s="9" t="s">
        <v>44</v>
      </c>
      <c r="U6" s="10" t="s">
        <v>45</v>
      </c>
      <c r="V6" s="10" t="s">
        <v>46</v>
      </c>
      <c r="W6" s="11" t="s">
        <v>40</v>
      </c>
      <c r="X6" s="14" t="s">
        <v>44</v>
      </c>
      <c r="Y6" s="10" t="s">
        <v>45</v>
      </c>
      <c r="Z6" s="10" t="s">
        <v>46</v>
      </c>
      <c r="AA6" s="11" t="s">
        <v>40</v>
      </c>
      <c r="AB6" s="9" t="s">
        <v>44</v>
      </c>
      <c r="AC6" s="10" t="s">
        <v>45</v>
      </c>
      <c r="AD6" s="10" t="s">
        <v>46</v>
      </c>
      <c r="AE6" s="10" t="s">
        <v>40</v>
      </c>
      <c r="AF6" s="565" t="s">
        <v>48</v>
      </c>
      <c r="AG6" s="9" t="s">
        <v>44</v>
      </c>
      <c r="AH6" s="10" t="s">
        <v>45</v>
      </c>
      <c r="AI6" s="10" t="s">
        <v>46</v>
      </c>
      <c r="AJ6" s="10" t="s">
        <v>40</v>
      </c>
      <c r="AK6" s="719"/>
      <c r="AL6" s="219"/>
      <c r="AM6" s="9" t="s">
        <v>44</v>
      </c>
      <c r="AN6" s="10" t="s">
        <v>45</v>
      </c>
      <c r="AO6" s="10" t="s">
        <v>46</v>
      </c>
      <c r="AP6" s="10" t="s">
        <v>40</v>
      </c>
      <c r="AQ6" s="222"/>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167</v>
      </c>
      <c r="B7" s="16" t="s">
        <v>3</v>
      </c>
      <c r="C7" s="17" t="s">
        <v>16</v>
      </c>
      <c r="D7" s="55"/>
      <c r="E7" s="56"/>
      <c r="F7" s="2"/>
      <c r="G7" s="63"/>
      <c r="H7" s="5"/>
      <c r="I7" s="151"/>
      <c r="J7" s="26"/>
      <c r="K7" s="26"/>
      <c r="L7" s="133"/>
      <c r="M7" s="56"/>
      <c r="N7" s="16"/>
      <c r="O7" s="18"/>
      <c r="P7" s="18"/>
      <c r="Q7" s="244"/>
      <c r="R7" s="24"/>
      <c r="T7" s="55"/>
      <c r="U7" s="56"/>
      <c r="V7" s="56"/>
      <c r="W7" s="199"/>
      <c r="X7" s="198"/>
      <c r="Y7" s="198"/>
      <c r="Z7" s="198"/>
      <c r="AA7" s="272"/>
      <c r="AB7" s="26"/>
      <c r="AC7" s="26"/>
      <c r="AD7" s="26"/>
      <c r="AE7" s="26"/>
      <c r="AF7" s="566"/>
      <c r="AG7" s="20"/>
      <c r="AH7" s="21"/>
      <c r="AI7" s="21"/>
      <c r="AJ7" s="22"/>
      <c r="AK7" s="27"/>
      <c r="AL7" s="19"/>
      <c r="AM7" s="55"/>
      <c r="AN7" s="56"/>
      <c r="AO7" s="2"/>
      <c r="AP7" s="63"/>
      <c r="AQ7" s="67"/>
      <c r="AR7" s="26"/>
      <c r="AS7" s="21"/>
      <c r="AT7" s="21"/>
      <c r="AU7" s="25"/>
      <c r="AV7" s="21"/>
      <c r="AW7" s="22"/>
      <c r="AX7" s="56"/>
      <c r="AY7" s="23"/>
      <c r="AZ7" s="19"/>
      <c r="BA7" s="19"/>
      <c r="BB7" s="19"/>
      <c r="BC7" s="24"/>
      <c r="BD7" s="8"/>
      <c r="BH7" s="700" t="s">
        <v>187</v>
      </c>
      <c r="BI7" s="701"/>
      <c r="BJ7" s="701"/>
      <c r="BK7" s="701"/>
      <c r="BL7" s="702"/>
      <c r="BM7" s="700" t="s">
        <v>188</v>
      </c>
      <c r="BN7" s="702"/>
      <c r="BP7" s="8"/>
      <c r="BQ7" s="8"/>
      <c r="BR7" s="8"/>
      <c r="BS7" s="8"/>
      <c r="BT7" s="8"/>
      <c r="BU7" s="8"/>
    </row>
    <row r="8" spans="1:73">
      <c r="A8" s="699"/>
      <c r="B8" s="23"/>
      <c r="C8" s="17" t="s">
        <v>17</v>
      </c>
      <c r="D8" s="57"/>
      <c r="E8" s="2"/>
      <c r="F8" s="2"/>
      <c r="G8" s="63"/>
      <c r="H8" s="5"/>
      <c r="I8" s="20"/>
      <c r="J8" s="21"/>
      <c r="K8" s="21"/>
      <c r="L8" s="22"/>
      <c r="M8" s="2"/>
      <c r="N8" s="23"/>
      <c r="O8" s="19"/>
      <c r="P8" s="19"/>
      <c r="Q8" s="19"/>
      <c r="R8" s="24"/>
      <c r="T8" s="57"/>
      <c r="U8" s="2"/>
      <c r="V8" s="2"/>
      <c r="W8" s="199"/>
      <c r="X8" s="198"/>
      <c r="Y8" s="198"/>
      <c r="Z8" s="198"/>
      <c r="AA8" s="272"/>
      <c r="AB8" s="21"/>
      <c r="AC8" s="21"/>
      <c r="AD8" s="21"/>
      <c r="AE8" s="21"/>
      <c r="AF8" s="355"/>
      <c r="AG8" s="20"/>
      <c r="AH8" s="21"/>
      <c r="AI8" s="21"/>
      <c r="AJ8" s="22"/>
      <c r="AK8" s="29"/>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
      <c r="F9" s="2"/>
      <c r="G9" s="63"/>
      <c r="H9" s="5"/>
      <c r="I9" s="20"/>
      <c r="J9" s="21"/>
      <c r="K9" s="21"/>
      <c r="L9" s="22"/>
      <c r="M9" s="2"/>
      <c r="N9" s="23"/>
      <c r="O9" s="19"/>
      <c r="P9" s="19"/>
      <c r="Q9" s="19"/>
      <c r="R9" s="24"/>
      <c r="T9" s="57"/>
      <c r="U9" s="2"/>
      <c r="V9" s="2"/>
      <c r="W9" s="199"/>
      <c r="X9" s="198"/>
      <c r="Y9" s="198"/>
      <c r="Z9" s="198"/>
      <c r="AA9" s="272"/>
      <c r="AB9" s="21"/>
      <c r="AC9" s="21"/>
      <c r="AD9" s="21"/>
      <c r="AE9" s="21"/>
      <c r="AF9" s="355"/>
      <c r="AG9" s="20"/>
      <c r="AH9" s="21"/>
      <c r="AI9" s="21"/>
      <c r="AJ9" s="22"/>
      <c r="AK9" s="29"/>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
      <c r="N10" s="23"/>
      <c r="O10" s="19"/>
      <c r="P10" s="19"/>
      <c r="Q10" s="19"/>
      <c r="R10" s="24"/>
      <c r="T10" s="57"/>
      <c r="U10" s="2"/>
      <c r="V10" s="2"/>
      <c r="W10" s="199"/>
      <c r="X10" s="198"/>
      <c r="Y10" s="198"/>
      <c r="Z10" s="198"/>
      <c r="AA10" s="274"/>
      <c r="AB10" s="21"/>
      <c r="AC10" s="21"/>
      <c r="AD10" s="21"/>
      <c r="AE10" s="21"/>
      <c r="AF10" s="355"/>
      <c r="AG10" s="20"/>
      <c r="AH10" s="21"/>
      <c r="AI10" s="21"/>
      <c r="AJ10" s="22"/>
      <c r="AK10" s="29"/>
      <c r="AL10" s="19"/>
      <c r="AM10" s="57"/>
      <c r="AN10" s="2"/>
      <c r="AO10" s="2"/>
      <c r="AP10" s="63"/>
      <c r="AQ10" s="68"/>
      <c r="AR10" s="21"/>
      <c r="AS10" s="21"/>
      <c r="AT10" s="21"/>
      <c r="AU10" s="25"/>
      <c r="AV10" s="21"/>
      <c r="AW10" s="22"/>
      <c r="AX10" s="2"/>
      <c r="AY10" s="23"/>
      <c r="AZ10" s="19"/>
      <c r="BA10" s="19"/>
      <c r="BB10" s="19"/>
      <c r="BC10" s="24"/>
      <c r="BD10" s="30"/>
      <c r="BG10" s="145" t="s">
        <v>72</v>
      </c>
      <c r="BH10" s="52">
        <f>N50/1000</f>
        <v>1593.9802132760719</v>
      </c>
      <c r="BI10" s="52">
        <f>O50/1000</f>
        <v>1603.5819766704199</v>
      </c>
      <c r="BJ10" s="52">
        <f>P50/1000</f>
        <v>817.6750180010381</v>
      </c>
      <c r="BK10" s="53">
        <f>Q50/1000</f>
        <v>4015.2372079475304</v>
      </c>
      <c r="BL10" s="54">
        <f>R50/1000</f>
        <v>0.88714972328971908</v>
      </c>
      <c r="BM10" s="51">
        <f>Q51/1000</f>
        <v>8318.0752079475296</v>
      </c>
      <c r="BN10" s="54">
        <f>R51/1000</f>
        <v>1.8378436283732895</v>
      </c>
      <c r="BP10" s="30"/>
      <c r="BQ10" s="30"/>
      <c r="BR10" s="30"/>
      <c r="BS10" s="31"/>
      <c r="BT10" s="31"/>
      <c r="BU10" s="32"/>
    </row>
    <row r="11" spans="1:73">
      <c r="A11" s="699"/>
      <c r="B11" s="23"/>
      <c r="C11" s="17" t="s">
        <v>183</v>
      </c>
      <c r="D11" s="57"/>
      <c r="E11" s="2"/>
      <c r="F11" s="2"/>
      <c r="G11" s="63"/>
      <c r="H11" s="2"/>
      <c r="I11" s="20"/>
      <c r="J11" s="21"/>
      <c r="K11" s="21"/>
      <c r="L11" s="22"/>
      <c r="M11" s="2"/>
      <c r="N11" s="23"/>
      <c r="O11" s="19"/>
      <c r="P11" s="19"/>
      <c r="Q11" s="19"/>
      <c r="R11" s="33"/>
      <c r="T11" s="57"/>
      <c r="U11" s="2"/>
      <c r="V11" s="2"/>
      <c r="W11" s="199"/>
      <c r="X11" s="198"/>
      <c r="Y11" s="198"/>
      <c r="Z11" s="198"/>
      <c r="AA11" s="274"/>
      <c r="AB11" s="21"/>
      <c r="AC11" s="21"/>
      <c r="AD11" s="21"/>
      <c r="AE11" s="21"/>
      <c r="AF11" s="355"/>
      <c r="AG11" s="20"/>
      <c r="AH11" s="21"/>
      <c r="AI11" s="21"/>
      <c r="AJ11" s="22"/>
      <c r="AK11" s="29"/>
      <c r="AL11" s="19"/>
      <c r="AM11" s="57"/>
      <c r="AN11" s="2"/>
      <c r="AO11" s="2"/>
      <c r="AP11" s="63"/>
      <c r="AQ11" s="68"/>
      <c r="AR11" s="21"/>
      <c r="AS11" s="21"/>
      <c r="AT11" s="21"/>
      <c r="AU11" s="25"/>
      <c r="AV11" s="21"/>
      <c r="AW11" s="22"/>
      <c r="AX11" s="2"/>
      <c r="AY11" s="23"/>
      <c r="AZ11" s="19"/>
      <c r="BA11" s="19"/>
      <c r="BB11" s="19"/>
      <c r="BC11" s="24"/>
      <c r="BD11" s="30"/>
      <c r="BG11" s="77" t="s">
        <v>68</v>
      </c>
      <c r="BH11" s="52">
        <f>AG50/1000</f>
        <v>1005.0008083818642</v>
      </c>
      <c r="BI11" s="52">
        <f>AH50/1000</f>
        <v>1029.2844302440283</v>
      </c>
      <c r="BJ11" s="52">
        <f>AI50/1000</f>
        <v>894.09276137410745</v>
      </c>
      <c r="BK11" s="53">
        <f>AJ50/1000</f>
        <v>2928.3780000000002</v>
      </c>
      <c r="BL11" s="54">
        <f>AK50/1000</f>
        <v>0.64701276608155256</v>
      </c>
      <c r="BM11" s="51">
        <f>AJ51/1000</f>
        <v>3775.538</v>
      </c>
      <c r="BN11" s="54">
        <f>AK51/1000</f>
        <v>0.83418919443665152</v>
      </c>
    </row>
    <row r="12" spans="1:73" s="106" customFormat="1">
      <c r="A12" s="699"/>
      <c r="B12" s="107" t="s">
        <v>67</v>
      </c>
      <c r="C12" s="108"/>
      <c r="D12" s="109"/>
      <c r="E12" s="110"/>
      <c r="F12" s="110"/>
      <c r="G12" s="63"/>
      <c r="H12" s="110"/>
      <c r="I12" s="112">
        <f>D50*'[2]Lfill en &amp; composn'!B$133</f>
        <v>83771.116248304534</v>
      </c>
      <c r="J12" s="113">
        <f>(E50-J46)*'[2]C&amp;I composn'!$D$10</f>
        <v>64560.615228776223</v>
      </c>
      <c r="K12" s="113">
        <f>(F50-K46)*'[2]Lfill en &amp; composn'!C$144</f>
        <v>458202.60296738282</v>
      </c>
      <c r="L12" s="114">
        <f>SUM(I12:K12)</f>
        <v>606534.3344444636</v>
      </c>
      <c r="M12" s="110"/>
      <c r="N12" s="112">
        <f>I12</f>
        <v>83771.116248304534</v>
      </c>
      <c r="O12" s="113">
        <f t="shared" ref="O12" si="0">J12</f>
        <v>64560.615228776223</v>
      </c>
      <c r="P12" s="113">
        <f>K12</f>
        <v>458202.60296738282</v>
      </c>
      <c r="Q12" s="114">
        <f>SUM(N12:P12)</f>
        <v>606534.3344444636</v>
      </c>
      <c r="R12" s="118">
        <f>Q12/[2]Popn!$E$44*1000</f>
        <v>134.01120260169483</v>
      </c>
      <c r="T12" s="109"/>
      <c r="U12" s="110"/>
      <c r="V12" s="110"/>
      <c r="W12" s="203"/>
      <c r="X12" s="130"/>
      <c r="Y12" s="130"/>
      <c r="Z12" s="130"/>
      <c r="AA12" s="276"/>
      <c r="AB12" s="113"/>
      <c r="AC12" s="113"/>
      <c r="AD12" s="113"/>
      <c r="AE12" s="113">
        <f>SUM(T50:V50)*[2]QLD!$F$101</f>
        <v>782139.97620263509</v>
      </c>
      <c r="AF12" s="567"/>
      <c r="AG12" s="112"/>
      <c r="AH12" s="113"/>
      <c r="AI12" s="113"/>
      <c r="AJ12" s="114">
        <f>AE12</f>
        <v>782139.97620263509</v>
      </c>
      <c r="AK12" s="115">
        <f>AJ12/[2]Popn!$E$44*1000</f>
        <v>172.81052837640038</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218.04878672392786</v>
      </c>
      <c r="BI12" s="52">
        <f>AZ50/1000</f>
        <v>133.07802332957999</v>
      </c>
      <c r="BJ12" s="52">
        <f>BA50/1000</f>
        <v>5.8459819989617721</v>
      </c>
      <c r="BK12" s="53">
        <f>BB50/1000</f>
        <v>356.97279205246969</v>
      </c>
      <c r="BL12" s="54">
        <f>BC50/1000</f>
        <v>7.5654441030088934E-2</v>
      </c>
      <c r="BM12" s="51">
        <f>BB51/1000</f>
        <v>356.97279205246969</v>
      </c>
      <c r="BN12" s="54">
        <f>BC51/1000</f>
        <v>7.5654441030088934E-2</v>
      </c>
      <c r="BO12" s="6"/>
    </row>
    <row r="13" spans="1:73">
      <c r="A13" s="699"/>
      <c r="B13" s="23" t="s">
        <v>4</v>
      </c>
      <c r="C13" s="17" t="s">
        <v>19</v>
      </c>
      <c r="D13" s="57"/>
      <c r="E13" s="2"/>
      <c r="F13" s="2"/>
      <c r="G13" s="63"/>
      <c r="H13" s="2"/>
      <c r="I13" s="20"/>
      <c r="J13" s="21">
        <f>(E50-J46)*'[2]C&amp;I composn'!$D$11</f>
        <v>42909.436525774734</v>
      </c>
      <c r="K13" s="21"/>
      <c r="L13" s="22"/>
      <c r="M13" s="2"/>
      <c r="N13" s="23"/>
      <c r="O13" s="19"/>
      <c r="P13" s="19"/>
      <c r="Q13" s="19"/>
      <c r="R13" s="305"/>
      <c r="T13" s="57"/>
      <c r="U13" s="2"/>
      <c r="V13" s="2"/>
      <c r="W13" s="199"/>
      <c r="X13" s="198"/>
      <c r="Y13" s="198"/>
      <c r="Z13" s="198"/>
      <c r="AA13" s="274"/>
      <c r="AB13" s="21"/>
      <c r="AC13" s="21"/>
      <c r="AD13" s="21"/>
      <c r="AE13" s="21"/>
      <c r="AF13" s="355"/>
      <c r="AG13" s="20"/>
      <c r="AH13" s="21"/>
      <c r="AI13" s="21"/>
      <c r="AJ13" s="22"/>
      <c r="AK13" s="29"/>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1">SUM(BH11:BH12)/BH14</f>
        <v>0.43416281626367542</v>
      </c>
      <c r="BI13" s="86">
        <f t="shared" si="1"/>
        <v>0.42024071086310938</v>
      </c>
      <c r="BJ13" s="86">
        <f t="shared" si="1"/>
        <v>0.52394709661216832</v>
      </c>
      <c r="BK13" s="87">
        <f t="shared" si="1"/>
        <v>0.45001180617951186</v>
      </c>
      <c r="BL13" s="87">
        <f t="shared" si="1"/>
        <v>0.44891266420677134</v>
      </c>
      <c r="BM13" s="88">
        <f t="shared" si="1"/>
        <v>0.3319129551052834</v>
      </c>
      <c r="BN13" s="87">
        <f t="shared" si="1"/>
        <v>0.33113071033971625</v>
      </c>
    </row>
    <row r="14" spans="1:73">
      <c r="A14" s="699"/>
      <c r="B14" s="23"/>
      <c r="C14" s="17" t="s">
        <v>20</v>
      </c>
      <c r="D14" s="57"/>
      <c r="E14" s="2"/>
      <c r="F14" s="2"/>
      <c r="G14" s="63"/>
      <c r="H14" s="2"/>
      <c r="I14" s="20"/>
      <c r="J14" s="21">
        <f>(E50-J46)*'[2]C&amp;I composn'!$D$12</f>
        <v>5575.5655390483817</v>
      </c>
      <c r="K14" s="21"/>
      <c r="L14" s="22"/>
      <c r="M14" s="2"/>
      <c r="N14" s="23"/>
      <c r="O14" s="19"/>
      <c r="P14" s="19"/>
      <c r="Q14" s="19"/>
      <c r="R14" s="305"/>
      <c r="T14" s="57"/>
      <c r="U14" s="2"/>
      <c r="V14" s="2"/>
      <c r="W14" s="199"/>
      <c r="X14" s="198"/>
      <c r="Y14" s="198"/>
      <c r="Z14" s="198"/>
      <c r="AA14" s="274"/>
      <c r="AB14" s="21"/>
      <c r="AC14" s="21"/>
      <c r="AD14" s="21"/>
      <c r="AE14" s="21"/>
      <c r="AF14" s="355"/>
      <c r="AG14" s="20"/>
      <c r="AH14" s="21"/>
      <c r="AI14" s="21"/>
      <c r="AJ14" s="22"/>
      <c r="AK14" s="29"/>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2">SUM(BH10:BH12)</f>
        <v>2817.0298083818643</v>
      </c>
      <c r="BI14" s="52">
        <f t="shared" si="2"/>
        <v>2765.9444302440279</v>
      </c>
      <c r="BJ14" s="52">
        <f t="shared" si="2"/>
        <v>1717.6137613741073</v>
      </c>
      <c r="BK14" s="74">
        <f t="shared" si="2"/>
        <v>7300.5879999999997</v>
      </c>
      <c r="BL14" s="76">
        <f t="shared" si="2"/>
        <v>1.6098169304013608</v>
      </c>
      <c r="BM14" s="81">
        <f t="shared" si="2"/>
        <v>12450.585999999999</v>
      </c>
      <c r="BN14" s="76">
        <f t="shared" si="2"/>
        <v>2.7476872638400298</v>
      </c>
    </row>
    <row r="15" spans="1:73">
      <c r="A15" s="699"/>
      <c r="B15" s="23"/>
      <c r="C15" s="17" t="s">
        <v>21</v>
      </c>
      <c r="D15" s="57"/>
      <c r="E15" s="2"/>
      <c r="F15" s="2"/>
      <c r="G15" s="63"/>
      <c r="H15" s="2"/>
      <c r="I15" s="20"/>
      <c r="J15" s="21">
        <f>(E50-J46)*'[2]C&amp;I composn'!$D$13</f>
        <v>9.4175889163914537</v>
      </c>
      <c r="K15" s="21"/>
      <c r="L15" s="22"/>
      <c r="M15" s="2"/>
      <c r="N15" s="23"/>
      <c r="O15" s="19"/>
      <c r="P15" s="19"/>
      <c r="Q15" s="19"/>
      <c r="R15" s="305"/>
      <c r="T15" s="57"/>
      <c r="U15" s="2"/>
      <c r="V15" s="2"/>
      <c r="W15" s="199"/>
      <c r="X15" s="198"/>
      <c r="Y15" s="198"/>
      <c r="Z15" s="198"/>
      <c r="AA15" s="274"/>
      <c r="AB15" s="21"/>
      <c r="AC15" s="21"/>
      <c r="AD15" s="21"/>
      <c r="AE15" s="21"/>
      <c r="AF15" s="355"/>
      <c r="AG15" s="20"/>
      <c r="AH15" s="21"/>
      <c r="AI15" s="21"/>
      <c r="AJ15" s="22"/>
      <c r="AK15" s="29"/>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63"/>
      <c r="H16" s="110"/>
      <c r="I16" s="112">
        <f>D50*'[2]Lfill en &amp; composn'!B$134</f>
        <v>58385.853265350495</v>
      </c>
      <c r="J16" s="113">
        <f>SUM(J13:J15)</f>
        <v>48494.419653739504</v>
      </c>
      <c r="K16" s="113">
        <f>(F50-K46)*'[2]Lfill en &amp; composn'!C$145</f>
        <v>28454.73980846248</v>
      </c>
      <c r="L16" s="114">
        <f>SUM(I16:K16)</f>
        <v>135335.01272755247</v>
      </c>
      <c r="M16" s="110"/>
      <c r="N16" s="112">
        <f>I16</f>
        <v>58385.853265350495</v>
      </c>
      <c r="O16" s="113">
        <f t="shared" ref="O16" si="3">J16</f>
        <v>48494.419653739504</v>
      </c>
      <c r="P16" s="113">
        <f t="shared" ref="P16" si="4">K16</f>
        <v>28454.73980846248</v>
      </c>
      <c r="Q16" s="114">
        <f>SUM(N16:P16)</f>
        <v>135335.01272755247</v>
      </c>
      <c r="R16" s="118">
        <f>Q16/[2]Popn!$E$44*1000</f>
        <v>29.901700167306217</v>
      </c>
      <c r="T16" s="109"/>
      <c r="U16" s="110"/>
      <c r="V16" s="110"/>
      <c r="W16" s="203"/>
      <c r="X16" s="130"/>
      <c r="Y16" s="130"/>
      <c r="Z16" s="130"/>
      <c r="AA16" s="276"/>
      <c r="AB16" s="113"/>
      <c r="AC16" s="113"/>
      <c r="AD16" s="113"/>
      <c r="AE16" s="113">
        <f>SUM(T50:V50)*[2]QLD!$F$102</f>
        <v>612882.72597283218</v>
      </c>
      <c r="AF16" s="567"/>
      <c r="AG16" s="112"/>
      <c r="AH16" s="113"/>
      <c r="AI16" s="113"/>
      <c r="AJ16" s="114">
        <f>AE16</f>
        <v>612882.72597283218</v>
      </c>
      <c r="AK16" s="115">
        <f>AJ16/[2]Popn!$E$44*1000</f>
        <v>135.41385292994426</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c r="BL16" s="6"/>
      <c r="BM16" s="6"/>
      <c r="BN16" s="6"/>
      <c r="BO16" s="6"/>
    </row>
    <row r="17" spans="1:67">
      <c r="A17" s="699"/>
      <c r="B17" s="23" t="s">
        <v>2</v>
      </c>
      <c r="C17" s="17" t="s">
        <v>22</v>
      </c>
      <c r="D17" s="57"/>
      <c r="E17" s="2"/>
      <c r="F17" s="2"/>
      <c r="G17" s="63"/>
      <c r="H17" s="2"/>
      <c r="I17" s="20"/>
      <c r="J17" s="21">
        <f>(E50-J46)*'[2]C&amp;I composn'!$D$14</f>
        <v>404808.61242561054</v>
      </c>
      <c r="K17" s="21"/>
      <c r="L17" s="22"/>
      <c r="M17" s="2"/>
      <c r="N17" s="20"/>
      <c r="O17" s="21"/>
      <c r="P17" s="21"/>
      <c r="Q17" s="21"/>
      <c r="R17" s="29"/>
      <c r="T17" s="57"/>
      <c r="U17" s="2"/>
      <c r="V17" s="2"/>
      <c r="W17" s="199"/>
      <c r="X17" s="198"/>
      <c r="Y17" s="198"/>
      <c r="Z17" s="198"/>
      <c r="AA17" s="274"/>
      <c r="AB17" s="21"/>
      <c r="AC17" s="21"/>
      <c r="AD17" s="21"/>
      <c r="AE17" s="21"/>
      <c r="AF17" s="355"/>
      <c r="AG17" s="20"/>
      <c r="AH17" s="21"/>
      <c r="AI17" s="21"/>
      <c r="AJ17" s="22"/>
      <c r="AK17" s="29"/>
      <c r="AL17" s="19"/>
      <c r="AM17" s="57"/>
      <c r="AN17" s="2"/>
      <c r="AO17" s="2"/>
      <c r="AP17" s="63"/>
      <c r="AQ17" s="70"/>
      <c r="AR17" s="21">
        <f>L22*'[2]Lfill en &amp; composn'!$E$82/SUM('[2]Lfill en &amp; composn'!$E$82,'[2]Lfill en &amp; composn'!$E$84:$E$85,'[2]Lfill en &amp; composn'!$E$87:$E$88)*'[2]Lfill en &amp; composn'!$D$16</f>
        <v>115195.60358891606</v>
      </c>
      <c r="AS17" s="35">
        <f>AR17/SUM($AR$7:$AR$49)</f>
        <v>0.35131976118983599</v>
      </c>
      <c r="AT17" s="21">
        <f>AS17*'[2]Lfill en &amp; composn'!$E$64/'[2]Lfill en &amp; composn'!$B$16</f>
        <v>83066.89638263626</v>
      </c>
      <c r="AU17" s="25"/>
      <c r="AV17" s="21"/>
      <c r="AW17" s="22"/>
      <c r="AX17" s="82"/>
      <c r="AY17" s="20"/>
      <c r="AZ17" s="21"/>
      <c r="BA17" s="21"/>
      <c r="BB17" s="21"/>
      <c r="BC17" s="29"/>
      <c r="BD17" s="30"/>
      <c r="BJ17" s="427" t="s">
        <v>138</v>
      </c>
      <c r="BK17" s="428" t="str">
        <f>IF(SUM(BH11:BJ11)=BK11,"OK","Problem")</f>
        <v>OK</v>
      </c>
    </row>
    <row r="18" spans="1:67">
      <c r="A18" s="699"/>
      <c r="B18" s="23"/>
      <c r="C18" s="17" t="s">
        <v>23</v>
      </c>
      <c r="D18" s="57"/>
      <c r="E18" s="2"/>
      <c r="F18" s="2"/>
      <c r="G18" s="63"/>
      <c r="H18" s="2"/>
      <c r="I18" s="20"/>
      <c r="J18" s="21">
        <f>(E50-J46)*'[2]C&amp;I composn'!$D$15</f>
        <v>15001.366303796054</v>
      </c>
      <c r="K18" s="21"/>
      <c r="L18" s="22"/>
      <c r="M18" s="2"/>
      <c r="N18" s="20"/>
      <c r="O18" s="21"/>
      <c r="P18" s="21"/>
      <c r="Q18" s="21"/>
      <c r="R18" s="29"/>
      <c r="T18" s="201">
        <f>[2]QLD!$K$16</f>
        <v>676251</v>
      </c>
      <c r="U18" s="2"/>
      <c r="V18" s="2"/>
      <c r="W18" s="199"/>
      <c r="X18" s="198"/>
      <c r="Y18" s="198"/>
      <c r="Z18" s="198"/>
      <c r="AA18" s="274"/>
      <c r="AB18" s="21"/>
      <c r="AC18" s="21"/>
      <c r="AD18" s="21"/>
      <c r="AE18" s="21"/>
      <c r="AF18" s="355"/>
      <c r="AG18" s="20">
        <f>T18</f>
        <v>676251</v>
      </c>
      <c r="AH18" s="21"/>
      <c r="AI18" s="21"/>
      <c r="AJ18" s="22">
        <f>AG18</f>
        <v>676251</v>
      </c>
      <c r="AK18" s="29">
        <f>AJ18/[2]Popn!$E$44*1000</f>
        <v>149.4148057646301</v>
      </c>
      <c r="AL18" s="19"/>
      <c r="AM18" s="57"/>
      <c r="AN18" s="2"/>
      <c r="AO18" s="2"/>
      <c r="AP18" s="63"/>
      <c r="AQ18" s="70">
        <f>[2]Bioenergy!$F$92</f>
        <v>139000</v>
      </c>
      <c r="AR18" s="21">
        <f>L22*'[2]Lfill en &amp; composn'!$E$84/SUM('[2]Lfill en &amp; composn'!$E$82,'[2]Lfill en &amp; composn'!$E$84:$E$85,'[2]Lfill en &amp; composn'!$E$87:$E$88)*'[2]Lfill en &amp; composn'!$D$18</f>
        <v>40519.130705674346</v>
      </c>
      <c r="AS18" s="35">
        <f t="shared" ref="AS18:AS21" si="5">AR18/SUM($AR$7:$AR$49)</f>
        <v>0.12357391150044678</v>
      </c>
      <c r="AT18" s="21">
        <f>AS18*'[2]Lfill en &amp; composn'!$E$64/'[2]Lfill en &amp; composn'!$B$18</f>
        <v>21913.586501880603</v>
      </c>
      <c r="AU18" s="25"/>
      <c r="AV18" s="21"/>
      <c r="AW18" s="22"/>
      <c r="AX18" s="2"/>
      <c r="AY18" s="20">
        <f>AQ18</f>
        <v>139000</v>
      </c>
      <c r="AZ18" s="21"/>
      <c r="BA18" s="21"/>
      <c r="BB18" s="21"/>
      <c r="BC18" s="29"/>
      <c r="BD18" s="36"/>
    </row>
    <row r="19" spans="1:67">
      <c r="A19" s="699"/>
      <c r="B19" s="23"/>
      <c r="C19" s="17" t="s">
        <v>24</v>
      </c>
      <c r="D19" s="57"/>
      <c r="E19" s="2"/>
      <c r="F19" s="2"/>
      <c r="G19" s="63"/>
      <c r="H19" s="2"/>
      <c r="I19" s="20"/>
      <c r="J19" s="21">
        <f>(E50-J46)*'[2]C&amp;I composn'!$D$16</f>
        <v>134440.71934595777</v>
      </c>
      <c r="K19" s="21"/>
      <c r="L19" s="22"/>
      <c r="M19" s="2"/>
      <c r="N19" s="20"/>
      <c r="O19" s="21"/>
      <c r="P19" s="21"/>
      <c r="Q19" s="21"/>
      <c r="R19" s="29"/>
      <c r="T19" s="57"/>
      <c r="U19" s="2"/>
      <c r="V19" s="2"/>
      <c r="W19" s="199"/>
      <c r="X19" s="198"/>
      <c r="Y19" s="198"/>
      <c r="Z19" s="198"/>
      <c r="AA19" s="274"/>
      <c r="AB19" s="21"/>
      <c r="AC19" s="21"/>
      <c r="AD19" s="21"/>
      <c r="AE19" s="21"/>
      <c r="AF19" s="355"/>
      <c r="AG19" s="20"/>
      <c r="AH19" s="21"/>
      <c r="AI19" s="21"/>
      <c r="AJ19" s="22"/>
      <c r="AK19" s="29"/>
      <c r="AL19" s="19"/>
      <c r="AM19" s="57"/>
      <c r="AN19" s="2"/>
      <c r="AO19" s="2"/>
      <c r="AP19" s="63"/>
      <c r="AQ19" s="70">
        <f>[2]Bioenergy!$F$114</f>
        <v>49000</v>
      </c>
      <c r="AR19" s="21">
        <f>L22*'[2]Lfill en &amp; composn'!$E$85/SUM('[2]Lfill en &amp; composn'!$E$82,'[2]Lfill en &amp; composn'!$E$84:$E$85,'[2]Lfill en &amp; composn'!$E$87:$E$88)*'[2]Lfill en &amp; composn'!$D$19</f>
        <v>23831.471430299571</v>
      </c>
      <c r="AS19" s="35">
        <f t="shared" si="5"/>
        <v>7.2680437367844394E-2</v>
      </c>
      <c r="AT19" s="21">
        <f>AS19*'[2]Lfill en &amp; composn'!$E$64/'[2]Lfill en &amp; composn'!$B$19</f>
        <v>5994.6763539333315</v>
      </c>
      <c r="AU19" s="25"/>
      <c r="AV19" s="21"/>
      <c r="AW19" s="22"/>
      <c r="AX19" s="2"/>
      <c r="AY19" s="20"/>
      <c r="AZ19" s="21">
        <f>AQ19</f>
        <v>49000</v>
      </c>
      <c r="BA19" s="21"/>
      <c r="BB19" s="21"/>
      <c r="BC19" s="29"/>
    </row>
    <row r="20" spans="1:67">
      <c r="A20" s="699"/>
      <c r="B20" s="23"/>
      <c r="C20" s="17" t="s">
        <v>25</v>
      </c>
      <c r="D20" s="57"/>
      <c r="E20" s="2"/>
      <c r="F20" s="2"/>
      <c r="G20" s="63"/>
      <c r="H20" s="2"/>
      <c r="I20" s="20"/>
      <c r="J20" s="21">
        <f>(E50-J46)*'[2]C&amp;I composn'!$D$17</f>
        <v>118712.06807777083</v>
      </c>
      <c r="K20" s="21"/>
      <c r="L20" s="22"/>
      <c r="M20" s="2"/>
      <c r="N20" s="20"/>
      <c r="O20" s="21"/>
      <c r="P20" s="21"/>
      <c r="Q20" s="21"/>
      <c r="R20" s="29"/>
      <c r="T20" s="57"/>
      <c r="U20" s="2"/>
      <c r="V20" s="2"/>
      <c r="W20" s="199"/>
      <c r="X20" s="198"/>
      <c r="Y20" s="198"/>
      <c r="Z20" s="198"/>
      <c r="AA20" s="274"/>
      <c r="AB20" s="21"/>
      <c r="AC20" s="21"/>
      <c r="AD20" s="21"/>
      <c r="AE20" s="21"/>
      <c r="AF20" s="355"/>
      <c r="AG20" s="20"/>
      <c r="AH20" s="21"/>
      <c r="AI20" s="21"/>
      <c r="AJ20" s="22"/>
      <c r="AK20" s="29"/>
      <c r="AL20" s="19"/>
      <c r="AM20" s="57"/>
      <c r="AN20" s="2"/>
      <c r="AO20" s="2"/>
      <c r="AP20" s="63"/>
      <c r="AQ20" s="68"/>
      <c r="AR20" s="21">
        <f>L22*'[2]Lfill en &amp; composn'!$E$93/SUM('[2]Lfill en &amp; composn'!$E$82,'[2]Lfill en &amp; composn'!$E$84:$E$85,'[2]Lfill en &amp; composn'!$E$87:$E$88)*'[2]Lfill en &amp; composn'!$D$24</f>
        <v>10448.58082439148</v>
      </c>
      <c r="AS20" s="35">
        <f t="shared" si="5"/>
        <v>3.186573797640236E-2</v>
      </c>
      <c r="AT20" s="21">
        <f>AS20*'[2]Lfill en &amp; composn'!$E$64/'[2]Lfill en &amp; composn'!$B$24</f>
        <v>4709.007731441965</v>
      </c>
      <c r="AU20" s="25"/>
      <c r="AV20" s="21"/>
      <c r="AW20" s="22"/>
      <c r="AX20" s="83"/>
      <c r="AY20" s="20"/>
      <c r="AZ20" s="21"/>
      <c r="BA20" s="21"/>
      <c r="BB20" s="21"/>
      <c r="BC20" s="29"/>
    </row>
    <row r="21" spans="1:67">
      <c r="A21" s="699"/>
      <c r="B21" s="23"/>
      <c r="C21" s="17" t="s">
        <v>0</v>
      </c>
      <c r="D21" s="57"/>
      <c r="E21" s="2"/>
      <c r="F21" s="2"/>
      <c r="G21" s="199">
        <f>[2]QLD!$F$22</f>
        <v>8743</v>
      </c>
      <c r="H21" s="198"/>
      <c r="I21" s="306">
        <f>G21</f>
        <v>8743</v>
      </c>
      <c r="J21" s="113"/>
      <c r="K21" s="21"/>
      <c r="L21" s="22"/>
      <c r="M21" s="68" t="s">
        <v>193</v>
      </c>
      <c r="N21" s="20"/>
      <c r="O21" s="19"/>
      <c r="P21" s="19"/>
      <c r="Q21" s="19"/>
      <c r="R21" s="29"/>
      <c r="T21" s="57"/>
      <c r="U21" s="2"/>
      <c r="V21" s="2"/>
      <c r="W21" s="199"/>
      <c r="X21" s="198"/>
      <c r="Y21" s="198"/>
      <c r="Z21" s="198"/>
      <c r="AA21" s="278"/>
      <c r="AB21" s="21"/>
      <c r="AC21" s="21"/>
      <c r="AD21" s="21"/>
      <c r="AE21" s="21"/>
      <c r="AF21" s="355"/>
      <c r="AG21" s="20"/>
      <c r="AH21" s="21"/>
      <c r="AI21" s="21"/>
      <c r="AJ21" s="22"/>
      <c r="AK21" s="29"/>
      <c r="AL21" s="19"/>
      <c r="AM21" s="57"/>
      <c r="AN21" s="2"/>
      <c r="AO21" s="2"/>
      <c r="AP21" s="63"/>
      <c r="AQ21" s="68"/>
      <c r="AR21" s="21">
        <f>L22*'[2]Lfill en &amp; composn'!$E$87/SUM('[2]Lfill en &amp; composn'!$E$82,'[2]Lfill en &amp; composn'!$E$84:$E$85,'[2]Lfill en &amp; composn'!$E$87:$E$88)*'[2]Lfill en &amp; composn'!$D$21</f>
        <v>265.77058782972517</v>
      </c>
      <c r="AS21" s="35">
        <f t="shared" si="5"/>
        <v>8.1053839329511823E-4</v>
      </c>
      <c r="AT21" s="21">
        <f>AS21*'[2]Lfill en &amp; composn'!$E$64/'[2]Lfill en &amp; composn'!$B$21</f>
        <v>574.93699046675158</v>
      </c>
      <c r="AU21" s="25"/>
      <c r="AV21" s="21"/>
      <c r="AW21" s="22"/>
      <c r="AX21" s="2"/>
      <c r="AY21" s="23"/>
      <c r="AZ21" s="19"/>
      <c r="BA21" s="19"/>
      <c r="BB21" s="21"/>
      <c r="BC21" s="24"/>
    </row>
    <row r="22" spans="1:67" s="106" customFormat="1">
      <c r="A22" s="699"/>
      <c r="B22" s="107" t="s">
        <v>67</v>
      </c>
      <c r="C22" s="108"/>
      <c r="D22" s="109"/>
      <c r="E22" s="110"/>
      <c r="F22" s="110"/>
      <c r="G22" s="63"/>
      <c r="H22" s="110"/>
      <c r="I22" s="112">
        <f>D50*'[2]Lfill en &amp; composn'!B$135</f>
        <v>945261.38500000013</v>
      </c>
      <c r="J22" s="113">
        <f>SUM(J17:J21)</f>
        <v>672962.76615313522</v>
      </c>
      <c r="K22" s="113">
        <f>(F50-K46)*'[2]Lfill en &amp; composn'!C$146</f>
        <v>65748.916305113613</v>
      </c>
      <c r="L22" s="114">
        <f>SUM(I22:K22)</f>
        <v>1683973.0674582489</v>
      </c>
      <c r="M22" s="110"/>
      <c r="N22" s="112">
        <f>I22-AU22</f>
        <v>880001.88426801912</v>
      </c>
      <c r="O22" s="113">
        <f t="shared" ref="O22" si="6">J22-AV22</f>
        <v>626502.37453313218</v>
      </c>
      <c r="P22" s="113">
        <f t="shared" ref="P22" si="7">K22-AW22</f>
        <v>61209.704696738729</v>
      </c>
      <c r="Q22" s="114">
        <f>SUM(N22:P22)</f>
        <v>1567713.9634978899</v>
      </c>
      <c r="R22" s="118">
        <f>Q22/[2]Popn!$E$44*1000</f>
        <v>346.37978701774284</v>
      </c>
      <c r="T22" s="109"/>
      <c r="U22" s="110"/>
      <c r="V22" s="110"/>
      <c r="W22" s="203"/>
      <c r="X22" s="130"/>
      <c r="Y22" s="130"/>
      <c r="Z22" s="130"/>
      <c r="AA22" s="285">
        <f>-SUM([2]ROU!$N$20:$N$29)</f>
        <v>-216490</v>
      </c>
      <c r="AB22" s="113"/>
      <c r="AC22" s="113"/>
      <c r="AD22" s="113"/>
      <c r="AE22" s="113">
        <f>SUM(T50:V50)*[2]QLD!$F$103</f>
        <v>1106682.0207333264</v>
      </c>
      <c r="AF22" s="554" t="s">
        <v>198</v>
      </c>
      <c r="AG22" s="112"/>
      <c r="AH22" s="113"/>
      <c r="AI22" s="113"/>
      <c r="AJ22" s="114">
        <f>SUM(AA22:AE22)</f>
        <v>890192.02073332644</v>
      </c>
      <c r="AK22" s="115">
        <f>AJ22/[2]Popn!$E$44*1000</f>
        <v>196.68417181060516</v>
      </c>
      <c r="AL22" s="119"/>
      <c r="AM22" s="109"/>
      <c r="AN22" s="110"/>
      <c r="AO22" s="110"/>
      <c r="AP22" s="111"/>
      <c r="AQ22" s="116"/>
      <c r="AR22" s="113"/>
      <c r="AS22" s="113"/>
      <c r="AT22" s="113">
        <f>SUM(AT17:AT21)</f>
        <v>116259.10396035892</v>
      </c>
      <c r="AU22" s="120">
        <f>$AT22*I22/SUM($I22:$K22)</f>
        <v>65259.500731980988</v>
      </c>
      <c r="AV22" s="113">
        <f>$AT22*J22/SUM($I22:$K22)</f>
        <v>46460.391620003051</v>
      </c>
      <c r="AW22" s="114">
        <f>$AT22*K22/SUM($I22:$K22)</f>
        <v>4539.2116083748815</v>
      </c>
      <c r="AX22" s="110"/>
      <c r="AY22" s="241">
        <f>AU22+AY18</f>
        <v>204259.50073198098</v>
      </c>
      <c r="AZ22" s="242">
        <f>AV22+AZ19</f>
        <v>95460.391620003051</v>
      </c>
      <c r="BA22" s="242">
        <f>AW22</f>
        <v>4539.2116083748815</v>
      </c>
      <c r="BB22" s="243">
        <f>SUM(AY22:BA22)</f>
        <v>304259.10396035895</v>
      </c>
      <c r="BC22" s="118">
        <f>BB22/[2]Popn!$E$44*1000</f>
        <v>67.224765538768054</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20"/>
      <c r="J23" s="21">
        <f>(E50-J46)*'[2]C&amp;I composn'!$D$18</f>
        <v>216911.952176625</v>
      </c>
      <c r="K23" s="21"/>
      <c r="L23" s="22"/>
      <c r="M23" s="2"/>
      <c r="N23" s="23"/>
      <c r="O23" s="19"/>
      <c r="P23" s="19"/>
      <c r="Q23" s="19"/>
      <c r="R23" s="305"/>
      <c r="T23" s="57"/>
      <c r="U23" s="2"/>
      <c r="V23" s="2"/>
      <c r="W23" s="199"/>
      <c r="X23" s="198"/>
      <c r="Y23" s="198"/>
      <c r="Z23" s="198"/>
      <c r="AA23" s="274"/>
      <c r="AB23" s="21"/>
      <c r="AC23" s="21"/>
      <c r="AD23" s="21"/>
      <c r="AE23" s="21"/>
      <c r="AF23" s="355"/>
      <c r="AG23" s="20"/>
      <c r="AH23" s="21"/>
      <c r="AI23" s="21"/>
      <c r="AJ23" s="22"/>
      <c r="AK23" s="29"/>
      <c r="AL23" s="19"/>
      <c r="AM23" s="57"/>
      <c r="AN23" s="2"/>
      <c r="AO23" s="2"/>
      <c r="AP23" s="63"/>
      <c r="AQ23" s="68"/>
      <c r="AR23" s="21"/>
      <c r="AS23" s="21"/>
      <c r="AT23" s="21"/>
      <c r="AU23" s="240"/>
      <c r="AV23" s="19"/>
      <c r="AW23" s="195"/>
      <c r="AX23" s="2"/>
      <c r="AY23" s="238"/>
      <c r="BB23" s="19"/>
      <c r="BC23" s="24"/>
      <c r="BG23" s="147" t="s">
        <v>3</v>
      </c>
      <c r="BH23" s="52">
        <f>Q12/1000</f>
        <v>606.53433444446364</v>
      </c>
      <c r="BI23" s="52">
        <f>AJ12/1000</f>
        <v>782.13997620263513</v>
      </c>
      <c r="BJ23" s="52">
        <f>BB12/1000</f>
        <v>0</v>
      </c>
      <c r="BK23" s="137">
        <f>SUM(BI23:BJ23)/BL23</f>
        <v>0.56322779949617641</v>
      </c>
      <c r="BL23" s="52">
        <f>SUM(BH23:BJ23)</f>
        <v>1388.6743106470988</v>
      </c>
    </row>
    <row r="24" spans="1:67">
      <c r="A24" s="699"/>
      <c r="B24" s="23"/>
      <c r="C24" s="17" t="s">
        <v>27</v>
      </c>
      <c r="D24" s="57"/>
      <c r="E24" s="2"/>
      <c r="F24" s="2"/>
      <c r="G24" s="63"/>
      <c r="H24" s="2"/>
      <c r="I24" s="20"/>
      <c r="J24" s="725">
        <f>(E50-J46)*'[2]C&amp;I composn'!$D$20</f>
        <v>71310.626753616307</v>
      </c>
      <c r="K24" s="21"/>
      <c r="L24" s="22"/>
      <c r="M24" s="2"/>
      <c r="N24" s="23"/>
      <c r="O24" s="19"/>
      <c r="P24" s="19"/>
      <c r="Q24" s="19"/>
      <c r="R24" s="305"/>
      <c r="T24" s="57"/>
      <c r="U24" s="2"/>
      <c r="V24" s="2"/>
      <c r="W24" s="199"/>
      <c r="X24" s="198"/>
      <c r="Y24" s="198"/>
      <c r="Z24" s="198"/>
      <c r="AA24" s="274"/>
      <c r="AB24" s="21"/>
      <c r="AC24" s="21"/>
      <c r="AD24" s="21"/>
      <c r="AE24" s="21"/>
      <c r="AF24" s="355"/>
      <c r="AG24" s="20"/>
      <c r="AH24" s="21"/>
      <c r="AI24" s="21"/>
      <c r="AJ24" s="22"/>
      <c r="AK24" s="29"/>
      <c r="AL24" s="19"/>
      <c r="AM24" s="57"/>
      <c r="AN24" s="2"/>
      <c r="AO24" s="2"/>
      <c r="AP24" s="63"/>
      <c r="AQ24" s="68"/>
      <c r="AR24" s="21"/>
      <c r="AS24" s="21"/>
      <c r="AT24" s="21"/>
      <c r="AU24" s="240"/>
      <c r="AV24" s="19"/>
      <c r="AW24" s="195"/>
      <c r="AX24" s="2"/>
      <c r="AY24" s="238"/>
      <c r="BB24" s="19"/>
      <c r="BC24" s="24"/>
      <c r="BG24" s="147" t="s">
        <v>4</v>
      </c>
      <c r="BH24" s="52">
        <f>Q16/1000</f>
        <v>135.33501272755248</v>
      </c>
      <c r="BI24" s="52">
        <f>AJ16/1000</f>
        <v>612.88272597283219</v>
      </c>
      <c r="BJ24" s="52">
        <f>BB16/1000</f>
        <v>0</v>
      </c>
      <c r="BK24" s="137">
        <f t="shared" ref="BK24:BK31" si="8">SUM(BI24:BJ24)/BL24</f>
        <v>0.81912349076002622</v>
      </c>
      <c r="BL24" s="52">
        <f t="shared" ref="BL24:BL31" si="9">SUM(BH24:BJ24)</f>
        <v>748.21773870038464</v>
      </c>
    </row>
    <row r="25" spans="1:67">
      <c r="A25" s="699"/>
      <c r="B25" s="23"/>
      <c r="C25" s="17" t="s">
        <v>28</v>
      </c>
      <c r="D25" s="57"/>
      <c r="E25" s="2"/>
      <c r="F25" s="2"/>
      <c r="G25" s="63"/>
      <c r="H25" s="2"/>
      <c r="I25" s="20"/>
      <c r="J25" s="725"/>
      <c r="K25" s="21"/>
      <c r="L25" s="22"/>
      <c r="M25" s="2"/>
      <c r="N25" s="23"/>
      <c r="O25" s="19"/>
      <c r="P25" s="19"/>
      <c r="Q25" s="19"/>
      <c r="R25" s="305"/>
      <c r="T25" s="57"/>
      <c r="U25" s="2"/>
      <c r="V25" s="2"/>
      <c r="W25" s="199"/>
      <c r="X25" s="198"/>
      <c r="Y25" s="198"/>
      <c r="Z25" s="198"/>
      <c r="AA25" s="274"/>
      <c r="AB25" s="21"/>
      <c r="AC25" s="21"/>
      <c r="AD25" s="21"/>
      <c r="AE25" s="21"/>
      <c r="AF25" s="355"/>
      <c r="AG25" s="20"/>
      <c r="AH25" s="21"/>
      <c r="AI25" s="21"/>
      <c r="AJ25" s="22"/>
      <c r="AK25" s="29"/>
      <c r="AL25" s="19"/>
      <c r="AM25" s="57"/>
      <c r="AN25" s="2"/>
      <c r="AO25" s="2"/>
      <c r="AP25" s="63"/>
      <c r="AQ25" s="68"/>
      <c r="AR25" s="21"/>
      <c r="AS25" s="21"/>
      <c r="AT25" s="21"/>
      <c r="AU25" s="240"/>
      <c r="AV25" s="19"/>
      <c r="AW25" s="195"/>
      <c r="AX25" s="2"/>
      <c r="AY25" s="238"/>
      <c r="BB25" s="19"/>
      <c r="BC25" s="24"/>
      <c r="BG25" s="147" t="s">
        <v>2</v>
      </c>
      <c r="BH25" s="52">
        <f>Q22/1000</f>
        <v>1567.7139634978898</v>
      </c>
      <c r="BI25" s="52">
        <f>AJ22/1000</f>
        <v>890.19202073332644</v>
      </c>
      <c r="BJ25" s="52">
        <f>BB22/1000</f>
        <v>304.25910396035897</v>
      </c>
      <c r="BK25" s="137">
        <f t="shared" si="8"/>
        <v>0.43243292365110148</v>
      </c>
      <c r="BL25" s="52">
        <f t="shared" si="9"/>
        <v>2762.1650881915753</v>
      </c>
    </row>
    <row r="26" spans="1:67">
      <c r="A26" s="699"/>
      <c r="B26" s="23"/>
      <c r="C26" s="17" t="s">
        <v>29</v>
      </c>
      <c r="D26" s="57"/>
      <c r="E26" s="2"/>
      <c r="F26" s="2"/>
      <c r="G26" s="63"/>
      <c r="H26" s="2"/>
      <c r="I26" s="20"/>
      <c r="J26" s="21">
        <f>(E50-J46)*'[2]C&amp;I composn'!$D$19</f>
        <v>106447.40841553909</v>
      </c>
      <c r="K26" s="21"/>
      <c r="L26" s="22"/>
      <c r="M26" s="198"/>
      <c r="N26" s="23"/>
      <c r="O26" s="19"/>
      <c r="P26" s="19"/>
      <c r="Q26" s="19"/>
      <c r="R26" s="305"/>
      <c r="T26" s="57"/>
      <c r="U26" s="2"/>
      <c r="V26" s="2"/>
      <c r="W26" s="199"/>
      <c r="X26" s="198"/>
      <c r="Y26" s="198"/>
      <c r="Z26" s="198"/>
      <c r="AA26" s="274"/>
      <c r="AB26" s="21"/>
      <c r="AC26" s="21"/>
      <c r="AD26" s="21"/>
      <c r="AE26" s="21"/>
      <c r="AF26" s="355"/>
      <c r="AG26" s="20"/>
      <c r="AH26" s="21"/>
      <c r="AI26" s="21"/>
      <c r="AJ26" s="22"/>
      <c r="AK26" s="29"/>
      <c r="AL26" s="19"/>
      <c r="AM26" s="57"/>
      <c r="AN26" s="2"/>
      <c r="AO26" s="2"/>
      <c r="AP26" s="63"/>
      <c r="AQ26" s="68"/>
      <c r="AR26" s="21"/>
      <c r="AS26" s="21"/>
      <c r="AT26" s="21"/>
      <c r="AU26" s="240"/>
      <c r="AV26" s="19"/>
      <c r="AW26" s="195"/>
      <c r="AX26" s="2"/>
      <c r="AY26" s="238"/>
      <c r="BB26" s="19"/>
      <c r="BC26" s="24"/>
      <c r="BG26" s="147" t="s">
        <v>5</v>
      </c>
      <c r="BH26" s="52">
        <f>Q27/1000</f>
        <v>603.06788628783818</v>
      </c>
      <c r="BI26" s="52">
        <f>AJ27/1000</f>
        <v>478.87417138188135</v>
      </c>
      <c r="BJ26" s="52">
        <f>BB27/1000</f>
        <v>33.751714672359711</v>
      </c>
      <c r="BK26" s="137">
        <f t="shared" si="8"/>
        <v>0.45946826876888447</v>
      </c>
      <c r="BL26" s="52">
        <f t="shared" si="9"/>
        <v>1115.6937723420792</v>
      </c>
    </row>
    <row r="27" spans="1:67" s="106" customFormat="1">
      <c r="A27" s="699"/>
      <c r="B27" s="107" t="s">
        <v>67</v>
      </c>
      <c r="C27" s="108"/>
      <c r="D27" s="109"/>
      <c r="E27" s="110"/>
      <c r="F27" s="110"/>
      <c r="G27" s="63"/>
      <c r="H27" s="110"/>
      <c r="I27" s="112">
        <f>D50*'[2]Lfill en &amp; composn'!B$136</f>
        <v>217493.77000000002</v>
      </c>
      <c r="J27" s="113">
        <f>SUM(J23:J26)</f>
        <v>394669.98734578036</v>
      </c>
      <c r="K27" s="113">
        <f>(F50-K46)*'[2]Lfill en &amp; composn'!C$147</f>
        <v>24655.843614417605</v>
      </c>
      <c r="L27" s="114">
        <f>SUM(I27:K27)</f>
        <v>636819.60096019797</v>
      </c>
      <c r="M27" s="110"/>
      <c r="N27" s="112">
        <f>I27-AU27</f>
        <v>205966.50598835939</v>
      </c>
      <c r="O27" s="113">
        <f t="shared" ref="O27" si="10">J27-AV27</f>
        <v>373752.30707564816</v>
      </c>
      <c r="P27" s="113">
        <f t="shared" ref="P27" si="11">K27-AW27</f>
        <v>23349.073223830714</v>
      </c>
      <c r="Q27" s="114">
        <f>SUM(N27:P27)</f>
        <v>603067.88628783822</v>
      </c>
      <c r="R27" s="118">
        <f>Q27/[2]Popn!$E$44*1000</f>
        <v>133.24530550429262</v>
      </c>
      <c r="T27" s="109"/>
      <c r="U27" s="110"/>
      <c r="V27" s="110"/>
      <c r="W27" s="203"/>
      <c r="X27" s="130"/>
      <c r="Y27" s="130"/>
      <c r="Z27" s="130"/>
      <c r="AA27" s="276"/>
      <c r="AB27" s="113"/>
      <c r="AC27" s="113"/>
      <c r="AD27" s="113"/>
      <c r="AE27" s="113">
        <f>SUM(T50:V50)*[2]QLD!$F$104</f>
        <v>478874.17138188134</v>
      </c>
      <c r="AF27" s="567"/>
      <c r="AG27" s="112"/>
      <c r="AH27" s="113"/>
      <c r="AI27" s="113"/>
      <c r="AJ27" s="114">
        <f>AE27</f>
        <v>478874.17138188134</v>
      </c>
      <c r="AK27" s="115">
        <f>AJ27/[2]Popn!$E$44*1000</f>
        <v>105.80522809241241</v>
      </c>
      <c r="AL27" s="119"/>
      <c r="AM27" s="109"/>
      <c r="AN27" s="110"/>
      <c r="AO27" s="110"/>
      <c r="AP27" s="111"/>
      <c r="AQ27" s="117"/>
      <c r="AR27" s="113">
        <f>L27*'[2]Lfill en &amp; composn'!$D$17</f>
        <v>124816.6417881988</v>
      </c>
      <c r="AS27" s="123">
        <f>AR27/SUM($AR$7:$AR$49)</f>
        <v>0.38066168689936475</v>
      </c>
      <c r="AT27" s="113">
        <f>AS27*'[2]Lfill en &amp; composn'!$E$64/'[2]Lfill en &amp; composn'!$B$17</f>
        <v>33751.714672359711</v>
      </c>
      <c r="AU27" s="120">
        <f>$AT27*I27/SUM($I27:$K27)</f>
        <v>11527.264011640618</v>
      </c>
      <c r="AV27" s="113">
        <f>$AT27*J27/SUM($I27:$K27)</f>
        <v>20917.680270132201</v>
      </c>
      <c r="AW27" s="114">
        <f>$AT27*K27/SUM($I27:$K27)</f>
        <v>1306.7703905868898</v>
      </c>
      <c r="AX27" s="110"/>
      <c r="AY27" s="241">
        <f>AU27</f>
        <v>11527.264011640618</v>
      </c>
      <c r="AZ27" s="242">
        <f>AV27</f>
        <v>20917.680270132201</v>
      </c>
      <c r="BA27" s="242">
        <f>AW27</f>
        <v>1306.7703905868898</v>
      </c>
      <c r="BB27" s="243">
        <f>SUM(AY27:BA27)</f>
        <v>33751.714672359711</v>
      </c>
      <c r="BC27" s="118">
        <f>BB27/[2]Popn!$E$44*1000</f>
        <v>7.4572989792160636</v>
      </c>
      <c r="BD27" s="122"/>
      <c r="BG27" s="147" t="s">
        <v>6</v>
      </c>
      <c r="BH27" s="52">
        <f>Q37/1000</f>
        <v>433.65393150227021</v>
      </c>
      <c r="BI27" s="52">
        <f>AJ37/1000</f>
        <v>19.688460627106522</v>
      </c>
      <c r="BJ27" s="52">
        <f>BB37/1000</f>
        <v>0</v>
      </c>
      <c r="BK27" s="137">
        <f t="shared" si="8"/>
        <v>4.3429560016720756E-2</v>
      </c>
      <c r="BL27" s="52">
        <f t="shared" si="9"/>
        <v>453.34239212937672</v>
      </c>
      <c r="BM27" s="6"/>
      <c r="BN27" s="6"/>
      <c r="BO27" s="6"/>
    </row>
    <row r="28" spans="1:67">
      <c r="A28" s="699"/>
      <c r="B28" s="23" t="s">
        <v>6</v>
      </c>
      <c r="C28" s="17" t="s">
        <v>30</v>
      </c>
      <c r="D28" s="57"/>
      <c r="E28" s="2"/>
      <c r="F28" s="2"/>
      <c r="G28" s="63"/>
      <c r="H28" s="2"/>
      <c r="I28" s="20"/>
      <c r="J28" s="21"/>
      <c r="K28" s="21"/>
      <c r="L28" s="22"/>
      <c r="M28" s="2"/>
      <c r="N28" s="23"/>
      <c r="O28" s="19"/>
      <c r="P28" s="19"/>
      <c r="Q28" s="19"/>
      <c r="R28" s="305"/>
      <c r="T28" s="57"/>
      <c r="U28" s="2"/>
      <c r="V28" s="2"/>
      <c r="W28" s="199"/>
      <c r="X28" s="198"/>
      <c r="Y28" s="198"/>
      <c r="Z28" s="198"/>
      <c r="AA28" s="274"/>
      <c r="AB28" s="21"/>
      <c r="AC28" s="21"/>
      <c r="AD28" s="21"/>
      <c r="AE28" s="21"/>
      <c r="AF28" s="355"/>
      <c r="AG28" s="20"/>
      <c r="AH28" s="21"/>
      <c r="AI28" s="21"/>
      <c r="AJ28" s="22"/>
      <c r="AK28" s="29"/>
      <c r="AL28" s="19"/>
      <c r="AM28" s="57"/>
      <c r="AN28" s="2"/>
      <c r="AO28" s="2"/>
      <c r="AP28" s="63"/>
      <c r="AQ28" s="68"/>
      <c r="AR28" s="21"/>
      <c r="AS28" s="21"/>
      <c r="AT28" s="21"/>
      <c r="AU28" s="240"/>
      <c r="AV28" s="19"/>
      <c r="AW28" s="195"/>
      <c r="AX28" s="2"/>
      <c r="AY28" s="238"/>
      <c r="BB28" s="19"/>
      <c r="BC28" s="24"/>
      <c r="BG28" s="147" t="s">
        <v>8</v>
      </c>
      <c r="BH28" s="52">
        <f>Q38/1000</f>
        <v>100.24704038179581</v>
      </c>
      <c r="BI28" s="52">
        <f>AJ38/1000</f>
        <v>73.672949443366349</v>
      </c>
      <c r="BJ28" s="52">
        <f>BB38/1000</f>
        <v>0</v>
      </c>
      <c r="BK28" s="137">
        <f t="shared" si="8"/>
        <v>0.42360253998075842</v>
      </c>
      <c r="BL28" s="52">
        <f t="shared" si="9"/>
        <v>173.91998982516216</v>
      </c>
    </row>
    <row r="29" spans="1:67">
      <c r="A29" s="699"/>
      <c r="B29" s="23"/>
      <c r="C29" s="17" t="s">
        <v>31</v>
      </c>
      <c r="D29" s="57"/>
      <c r="E29" s="2"/>
      <c r="F29" s="2"/>
      <c r="G29" s="63"/>
      <c r="H29" s="2"/>
      <c r="I29" s="20"/>
      <c r="J29" s="21"/>
      <c r="K29" s="21"/>
      <c r="L29" s="22"/>
      <c r="M29" s="2"/>
      <c r="N29" s="23"/>
      <c r="O29" s="19"/>
      <c r="P29" s="19"/>
      <c r="Q29" s="19"/>
      <c r="R29" s="305"/>
      <c r="T29" s="57"/>
      <c r="U29" s="2"/>
      <c r="V29" s="2"/>
      <c r="W29" s="199"/>
      <c r="X29" s="198"/>
      <c r="Y29" s="198"/>
      <c r="Z29" s="198"/>
      <c r="AA29" s="274"/>
      <c r="AB29" s="21"/>
      <c r="AC29" s="21"/>
      <c r="AD29" s="21"/>
      <c r="AE29" s="21"/>
      <c r="AF29" s="355"/>
      <c r="AG29" s="20"/>
      <c r="AH29" s="21"/>
      <c r="AI29" s="21"/>
      <c r="AJ29" s="22"/>
      <c r="AK29" s="29"/>
      <c r="AL29" s="19"/>
      <c r="AM29" s="57"/>
      <c r="AN29" s="2"/>
      <c r="AO29" s="2"/>
      <c r="AP29" s="63"/>
      <c r="AQ29" s="68"/>
      <c r="AR29" s="21"/>
      <c r="AS29" s="21"/>
      <c r="AT29" s="21"/>
      <c r="AU29" s="240"/>
      <c r="AV29" s="19"/>
      <c r="AW29" s="195"/>
      <c r="AX29" s="2"/>
      <c r="AY29" s="238"/>
      <c r="BB29" s="19"/>
      <c r="BC29" s="24"/>
      <c r="BG29" s="147" t="s">
        <v>7</v>
      </c>
      <c r="BH29" s="52">
        <f>Q41/1000</f>
        <v>76.974851213877798</v>
      </c>
      <c r="BI29" s="52">
        <f>AJ41/1000</f>
        <v>35.248695638852006</v>
      </c>
      <c r="BJ29" s="52">
        <f>BB41/1000</f>
        <v>4.4009734197509935</v>
      </c>
      <c r="BK29" s="137">
        <f t="shared" si="8"/>
        <v>0.33997712458722879</v>
      </c>
      <c r="BL29" s="52">
        <f t="shared" si="9"/>
        <v>116.62452027248081</v>
      </c>
    </row>
    <row r="30" spans="1:67">
      <c r="A30" s="699"/>
      <c r="B30" s="23"/>
      <c r="C30" s="17" t="s">
        <v>32</v>
      </c>
      <c r="D30" s="57"/>
      <c r="E30" s="2"/>
      <c r="F30" s="2"/>
      <c r="G30" s="63"/>
      <c r="H30" s="2"/>
      <c r="I30" s="20"/>
      <c r="J30" s="21"/>
      <c r="K30" s="21"/>
      <c r="L30" s="22"/>
      <c r="M30" s="2"/>
      <c r="N30" s="23"/>
      <c r="O30" s="19"/>
      <c r="P30" s="19"/>
      <c r="Q30" s="19"/>
      <c r="R30" s="305"/>
      <c r="T30" s="57"/>
      <c r="U30" s="2"/>
      <c r="V30" s="2"/>
      <c r="W30" s="199"/>
      <c r="X30" s="198"/>
      <c r="Y30" s="198"/>
      <c r="Z30" s="198"/>
      <c r="AA30" s="274"/>
      <c r="AB30" s="21"/>
      <c r="AC30" s="21"/>
      <c r="AD30" s="21"/>
      <c r="AE30" s="21"/>
      <c r="AF30" s="355"/>
      <c r="AG30" s="20"/>
      <c r="AH30" s="21"/>
      <c r="AI30" s="21"/>
      <c r="AJ30" s="22"/>
      <c r="AK30" s="29"/>
      <c r="AL30" s="19"/>
      <c r="AM30" s="57"/>
      <c r="AN30" s="2"/>
      <c r="AO30" s="2"/>
      <c r="AP30" s="63"/>
      <c r="AQ30" s="68"/>
      <c r="AR30" s="21"/>
      <c r="AS30" s="21"/>
      <c r="AT30" s="21"/>
      <c r="AU30" s="240"/>
      <c r="AV30" s="19"/>
      <c r="AW30" s="195"/>
      <c r="AX30" s="2"/>
      <c r="AY30" s="238"/>
      <c r="BB30" s="19"/>
      <c r="BC30" s="24"/>
      <c r="BG30" s="147" t="s">
        <v>11</v>
      </c>
      <c r="BH30" s="52">
        <f>Q46/1000</f>
        <v>491.710187891842</v>
      </c>
      <c r="BI30" s="52">
        <f>AJ46/1000</f>
        <v>35.679000000000002</v>
      </c>
      <c r="BJ30" s="52">
        <f>BB46/1000</f>
        <v>14.561</v>
      </c>
      <c r="BK30" s="137">
        <f t="shared" si="8"/>
        <v>9.270224666851945E-2</v>
      </c>
      <c r="BL30" s="52">
        <f t="shared" si="9"/>
        <v>541.95018789184201</v>
      </c>
    </row>
    <row r="31" spans="1:67" s="90" customFormat="1">
      <c r="A31" s="699"/>
      <c r="B31" s="91" t="s">
        <v>42</v>
      </c>
      <c r="C31" s="92"/>
      <c r="D31" s="93"/>
      <c r="E31" s="94"/>
      <c r="F31" s="94"/>
      <c r="G31" s="63"/>
      <c r="H31" s="94"/>
      <c r="I31" s="96"/>
      <c r="J31" s="97"/>
      <c r="K31" s="97"/>
      <c r="L31" s="98"/>
      <c r="M31" s="94"/>
      <c r="N31" s="96"/>
      <c r="O31" s="97"/>
      <c r="P31" s="97"/>
      <c r="Q31" s="97"/>
      <c r="R31" s="102"/>
      <c r="T31" s="93"/>
      <c r="U31" s="94"/>
      <c r="V31" s="94"/>
      <c r="W31" s="211"/>
      <c r="X31" s="289"/>
      <c r="Y31" s="289"/>
      <c r="Z31" s="289"/>
      <c r="AA31" s="280"/>
      <c r="AB31" s="97"/>
      <c r="AC31" s="97"/>
      <c r="AD31" s="97"/>
      <c r="AE31" s="97"/>
      <c r="AF31" s="568"/>
      <c r="AG31" s="96"/>
      <c r="AH31" s="97"/>
      <c r="AI31" s="97"/>
      <c r="AJ31" s="98"/>
      <c r="AK31" s="102"/>
      <c r="AL31" s="103"/>
      <c r="AM31" s="93"/>
      <c r="AN31" s="94"/>
      <c r="AO31" s="94"/>
      <c r="AP31" s="95"/>
      <c r="AQ31" s="100"/>
      <c r="AR31" s="97"/>
      <c r="AS31" s="128"/>
      <c r="AT31" s="128"/>
      <c r="AU31" s="104"/>
      <c r="AV31" s="97"/>
      <c r="AW31" s="98"/>
      <c r="AX31" s="94"/>
      <c r="AY31" s="239"/>
      <c r="BB31" s="97"/>
      <c r="BC31" s="105"/>
      <c r="BG31" s="147" t="s">
        <v>1</v>
      </c>
      <c r="BH31" s="52">
        <f>Q47/1000</f>
        <v>4302.8379999999997</v>
      </c>
      <c r="BI31" s="52">
        <f>AJ47/1000</f>
        <v>847.16</v>
      </c>
      <c r="BJ31" s="52">
        <f>BB47/1000</f>
        <v>0</v>
      </c>
      <c r="BK31" s="137">
        <f t="shared" si="8"/>
        <v>0.16449715126102962</v>
      </c>
      <c r="BL31" s="52">
        <f t="shared" si="9"/>
        <v>5149.9979999999996</v>
      </c>
      <c r="BM31" s="6"/>
      <c r="BN31" s="6"/>
      <c r="BO31" s="6"/>
    </row>
    <row r="32" spans="1:67">
      <c r="A32" s="699"/>
      <c r="B32" s="23"/>
      <c r="C32" s="17" t="s">
        <v>33</v>
      </c>
      <c r="D32" s="57"/>
      <c r="E32" s="2"/>
      <c r="F32" s="2"/>
      <c r="G32" s="63"/>
      <c r="H32" s="2"/>
      <c r="I32" s="20"/>
      <c r="J32" s="21"/>
      <c r="K32" s="21"/>
      <c r="L32" s="22"/>
      <c r="M32" s="2"/>
      <c r="N32" s="23"/>
      <c r="O32" s="19"/>
      <c r="P32" s="19"/>
      <c r="Q32" s="19"/>
      <c r="R32" s="305"/>
      <c r="T32" s="57"/>
      <c r="U32" s="2"/>
      <c r="V32" s="2"/>
      <c r="W32" s="199"/>
      <c r="X32" s="198"/>
      <c r="Y32" s="198"/>
      <c r="Z32" s="198"/>
      <c r="AA32" s="274"/>
      <c r="AB32" s="21"/>
      <c r="AC32" s="21"/>
      <c r="AD32" s="21"/>
      <c r="AE32" s="21"/>
      <c r="AF32" s="355"/>
      <c r="AG32" s="20"/>
      <c r="AH32" s="21"/>
      <c r="AI32" s="21"/>
      <c r="AJ32" s="22"/>
      <c r="AK32" s="29"/>
      <c r="AL32" s="19"/>
      <c r="AM32" s="57"/>
      <c r="AN32" s="2"/>
      <c r="AO32" s="2"/>
      <c r="AP32" s="63"/>
      <c r="AQ32" s="68"/>
      <c r="AR32" s="21"/>
      <c r="AS32" s="21"/>
      <c r="AT32" s="21"/>
      <c r="AU32" s="240"/>
      <c r="AV32" s="19"/>
      <c r="AW32" s="195"/>
      <c r="AX32" s="2"/>
      <c r="AY32" s="238"/>
      <c r="BB32" s="19"/>
      <c r="BC32" s="24"/>
      <c r="BG32" s="142"/>
    </row>
    <row r="33" spans="1:81">
      <c r="A33" s="699"/>
      <c r="B33" s="23"/>
      <c r="C33" s="17" t="s">
        <v>34</v>
      </c>
      <c r="D33" s="57"/>
      <c r="E33" s="2"/>
      <c r="F33" s="2"/>
      <c r="G33" s="63"/>
      <c r="H33" s="2"/>
      <c r="I33" s="20"/>
      <c r="J33" s="21"/>
      <c r="K33" s="21"/>
      <c r="L33" s="22"/>
      <c r="M33" s="2"/>
      <c r="N33" s="23"/>
      <c r="O33" s="19"/>
      <c r="P33" s="19"/>
      <c r="Q33" s="19"/>
      <c r="R33" s="305"/>
      <c r="T33" s="57"/>
      <c r="U33" s="2"/>
      <c r="V33" s="2"/>
      <c r="W33" s="199"/>
      <c r="X33" s="198"/>
      <c r="Y33" s="198"/>
      <c r="Z33" s="198"/>
      <c r="AA33" s="274"/>
      <c r="AB33" s="21"/>
      <c r="AC33" s="21"/>
      <c r="AD33" s="21"/>
      <c r="AE33" s="21"/>
      <c r="AF33" s="355"/>
      <c r="AG33" s="20"/>
      <c r="AH33" s="21"/>
      <c r="AI33" s="21"/>
      <c r="AJ33" s="22"/>
      <c r="AK33" s="29"/>
      <c r="AL33" s="19"/>
      <c r="AM33" s="57"/>
      <c r="AN33" s="2"/>
      <c r="AO33" s="2"/>
      <c r="AP33" s="63"/>
      <c r="AQ33" s="68"/>
      <c r="AR33" s="21"/>
      <c r="AS33" s="21"/>
      <c r="AT33" s="21"/>
      <c r="AU33" s="240"/>
      <c r="AV33" s="19"/>
      <c r="AW33" s="195"/>
      <c r="AX33" s="2"/>
      <c r="AY33" s="238"/>
      <c r="BB33" s="19"/>
      <c r="BC33" s="24"/>
    </row>
    <row r="34" spans="1:81">
      <c r="A34" s="699"/>
      <c r="B34" s="23"/>
      <c r="C34" s="17" t="s">
        <v>35</v>
      </c>
      <c r="D34" s="57"/>
      <c r="E34" s="2"/>
      <c r="F34" s="2"/>
      <c r="G34" s="63"/>
      <c r="H34" s="2"/>
      <c r="I34" s="20"/>
      <c r="J34" s="21"/>
      <c r="K34" s="21"/>
      <c r="L34" s="22"/>
      <c r="M34" s="2"/>
      <c r="N34" s="23"/>
      <c r="O34" s="19"/>
      <c r="P34" s="19"/>
      <c r="Q34" s="19"/>
      <c r="R34" s="305"/>
      <c r="T34" s="57"/>
      <c r="U34" s="2"/>
      <c r="V34" s="2"/>
      <c r="W34" s="199"/>
      <c r="X34" s="198"/>
      <c r="Y34" s="198"/>
      <c r="Z34" s="198"/>
      <c r="AA34" s="274"/>
      <c r="AB34" s="21"/>
      <c r="AC34" s="21"/>
      <c r="AD34" s="21"/>
      <c r="AE34" s="21"/>
      <c r="AF34" s="355"/>
      <c r="AG34" s="20"/>
      <c r="AH34" s="21"/>
      <c r="AI34" s="21"/>
      <c r="AJ34" s="22"/>
      <c r="AK34" s="29"/>
      <c r="AL34" s="19"/>
      <c r="AM34" s="57"/>
      <c r="AN34" s="2"/>
      <c r="AO34" s="2"/>
      <c r="AP34" s="63"/>
      <c r="AQ34" s="68"/>
      <c r="AR34" s="21"/>
      <c r="AS34" s="21"/>
      <c r="AT34" s="21"/>
      <c r="AU34" s="240"/>
      <c r="AV34" s="19"/>
      <c r="AW34" s="195"/>
      <c r="AX34" s="2"/>
      <c r="AY34" s="238"/>
      <c r="BB34" s="19"/>
      <c r="BC34" s="24"/>
    </row>
    <row r="35" spans="1:81">
      <c r="A35" s="699"/>
      <c r="B35" s="23"/>
      <c r="C35" s="17" t="s">
        <v>36</v>
      </c>
      <c r="D35" s="57"/>
      <c r="E35" s="2"/>
      <c r="F35" s="2"/>
      <c r="G35" s="63"/>
      <c r="H35" s="2"/>
      <c r="I35" s="20"/>
      <c r="J35" s="21"/>
      <c r="K35" s="21"/>
      <c r="L35" s="22"/>
      <c r="M35" s="2"/>
      <c r="N35" s="23"/>
      <c r="O35" s="19"/>
      <c r="P35" s="19"/>
      <c r="Q35" s="19"/>
      <c r="R35" s="305"/>
      <c r="T35" s="57"/>
      <c r="U35" s="2"/>
      <c r="V35" s="2"/>
      <c r="W35" s="199"/>
      <c r="X35" s="198"/>
      <c r="Y35" s="198"/>
      <c r="Z35" s="198"/>
      <c r="AA35" s="274"/>
      <c r="AB35" s="21"/>
      <c r="AC35" s="21"/>
      <c r="AD35" s="21"/>
      <c r="AE35" s="21"/>
      <c r="AF35" s="355"/>
      <c r="AG35" s="20"/>
      <c r="AH35" s="21"/>
      <c r="AI35" s="21"/>
      <c r="AJ35" s="22"/>
      <c r="AK35" s="29"/>
      <c r="AL35" s="19"/>
      <c r="AM35" s="57"/>
      <c r="AN35" s="2"/>
      <c r="AO35" s="2"/>
      <c r="AP35" s="63"/>
      <c r="AQ35" s="68"/>
      <c r="AR35" s="21"/>
      <c r="AS35" s="21"/>
      <c r="AT35" s="21"/>
      <c r="AU35" s="240"/>
      <c r="AV35" s="19"/>
      <c r="AW35" s="195"/>
      <c r="AX35" s="2"/>
      <c r="AY35" s="238"/>
      <c r="BB35" s="19"/>
      <c r="BC35" s="24"/>
    </row>
    <row r="36" spans="1:81" s="90" customFormat="1">
      <c r="A36" s="699"/>
      <c r="B36" s="91" t="s">
        <v>43</v>
      </c>
      <c r="C36" s="92"/>
      <c r="D36" s="93"/>
      <c r="E36" s="94"/>
      <c r="F36" s="94"/>
      <c r="G36" s="63"/>
      <c r="H36" s="94"/>
      <c r="I36" s="96"/>
      <c r="J36" s="97"/>
      <c r="K36" s="97"/>
      <c r="L36" s="98"/>
      <c r="M36" s="94"/>
      <c r="N36" s="96"/>
      <c r="O36" s="97"/>
      <c r="P36" s="97"/>
      <c r="Q36" s="97"/>
      <c r="R36" s="102"/>
      <c r="T36" s="93"/>
      <c r="U36" s="94"/>
      <c r="V36" s="94"/>
      <c r="W36" s="211"/>
      <c r="X36" s="289"/>
      <c r="Y36" s="289"/>
      <c r="Z36" s="289"/>
      <c r="AA36" s="280"/>
      <c r="AB36" s="97"/>
      <c r="AC36" s="97"/>
      <c r="AD36" s="97"/>
      <c r="AE36" s="97"/>
      <c r="AF36" s="568"/>
      <c r="AG36" s="96"/>
      <c r="AH36" s="97"/>
      <c r="AI36" s="97"/>
      <c r="AJ36" s="98"/>
      <c r="AK36" s="102"/>
      <c r="AL36" s="103"/>
      <c r="AM36" s="93"/>
      <c r="AN36" s="94"/>
      <c r="AO36" s="94"/>
      <c r="AP36" s="95"/>
      <c r="AQ36" s="100"/>
      <c r="AR36" s="97"/>
      <c r="AS36" s="97"/>
      <c r="AT36" s="97"/>
      <c r="AU36" s="104"/>
      <c r="AV36" s="97"/>
      <c r="AW36" s="98"/>
      <c r="AX36" s="94"/>
      <c r="AY36" s="239"/>
      <c r="BB36" s="97"/>
      <c r="BC36" s="105"/>
      <c r="BG36" s="143"/>
    </row>
    <row r="37" spans="1:81" s="106" customFormat="1">
      <c r="A37" s="699"/>
      <c r="B37" s="107" t="s">
        <v>67</v>
      </c>
      <c r="C37" s="108"/>
      <c r="D37" s="109"/>
      <c r="E37" s="110"/>
      <c r="F37" s="110"/>
      <c r="G37" s="63"/>
      <c r="H37" s="110"/>
      <c r="I37" s="112">
        <f>D50*'[2]Lfill en &amp; composn'!B$137</f>
        <v>216399.20469611743</v>
      </c>
      <c r="J37" s="113">
        <f>(E50-J46)*SUM('[2]C&amp;I composn'!$D$21:$D$22)</f>
        <v>192873.99846929125</v>
      </c>
      <c r="K37" s="113">
        <f>(F50-K46)*'[2]Lfill en &amp; composn'!C$148</f>
        <v>24380.728336861521</v>
      </c>
      <c r="L37" s="114">
        <f>SUM(I37:K37)</f>
        <v>433653.93150227022</v>
      </c>
      <c r="M37" s="110"/>
      <c r="N37" s="112">
        <f>I37</f>
        <v>216399.20469611743</v>
      </c>
      <c r="O37" s="113">
        <f t="shared" ref="O37:O38" si="12">J37</f>
        <v>192873.99846929125</v>
      </c>
      <c r="P37" s="113">
        <f t="shared" ref="P37:P38" si="13">K37</f>
        <v>24380.728336861521</v>
      </c>
      <c r="Q37" s="114">
        <f>SUM(N37:P37)</f>
        <v>433653.93150227022</v>
      </c>
      <c r="R37" s="118">
        <f>Q37/[2]Popn!$E$44*1000</f>
        <v>95.814006847279941</v>
      </c>
      <c r="T37" s="202"/>
      <c r="U37" s="130"/>
      <c r="V37" s="130"/>
      <c r="W37" s="203"/>
      <c r="X37" s="130"/>
      <c r="Y37" s="130"/>
      <c r="Z37" s="130"/>
      <c r="AA37" s="276"/>
      <c r="AB37" s="113"/>
      <c r="AC37" s="113"/>
      <c r="AD37" s="113"/>
      <c r="AE37" s="113">
        <f>SUM(T50:V50)*[2]QLD!$F$105</f>
        <v>19688.460627106524</v>
      </c>
      <c r="AF37" s="554" t="s">
        <v>180</v>
      </c>
      <c r="AG37" s="112"/>
      <c r="AH37" s="113"/>
      <c r="AI37" s="113"/>
      <c r="AJ37" s="114">
        <f>AE37</f>
        <v>19688.460627106524</v>
      </c>
      <c r="AK37" s="115">
        <f>AJ37/[2]Popn!$E$44*1000</f>
        <v>4.3500823221018363</v>
      </c>
      <c r="AL37" s="119"/>
      <c r="AM37" s="109"/>
      <c r="AN37" s="110"/>
      <c r="AO37" s="110"/>
      <c r="AP37" s="111"/>
      <c r="AQ37" s="116"/>
      <c r="AR37" s="113"/>
      <c r="AS37" s="113"/>
      <c r="AT37" s="113"/>
      <c r="AU37" s="120"/>
      <c r="AV37" s="113"/>
      <c r="AW37" s="114"/>
      <c r="AX37" s="110"/>
      <c r="AY37" s="237"/>
      <c r="BB37" s="113"/>
      <c r="BC37" s="118">
        <f>BB37/[2]Popn!$E$44*1000</f>
        <v>0</v>
      </c>
      <c r="BG37" s="144"/>
    </row>
    <row r="38" spans="1:81" s="106" customFormat="1">
      <c r="A38" s="699"/>
      <c r="B38" s="37" t="s">
        <v>8</v>
      </c>
      <c r="C38" s="129" t="s">
        <v>8</v>
      </c>
      <c r="D38" s="109"/>
      <c r="E38" s="110"/>
      <c r="F38" s="110"/>
      <c r="G38" s="63"/>
      <c r="H38" s="110"/>
      <c r="I38" s="112">
        <f>D50*'[2]Lfill en &amp; composn'!B$138</f>
        <v>80851.757898385331</v>
      </c>
      <c r="J38" s="113">
        <f>(E50-J46)*SUM('[2]C&amp;I composn'!$D$23:$D$24)</f>
        <v>14171.113515648583</v>
      </c>
      <c r="K38" s="113">
        <f>(F50-K46)*'[2]Lfill en &amp; composn'!C$149</f>
        <v>5224.1689677618933</v>
      </c>
      <c r="L38" s="114">
        <f>SUM(I38:K38)</f>
        <v>100247.04038179581</v>
      </c>
      <c r="M38" s="110"/>
      <c r="N38" s="112">
        <f>I38</f>
        <v>80851.757898385331</v>
      </c>
      <c r="O38" s="113">
        <f t="shared" si="12"/>
        <v>14171.113515648583</v>
      </c>
      <c r="P38" s="113">
        <f t="shared" si="13"/>
        <v>5224.1689677618933</v>
      </c>
      <c r="Q38" s="114">
        <f>SUM(N38:P38)</f>
        <v>100247.04038179581</v>
      </c>
      <c r="R38" s="118">
        <f>Q38/[2]Popn!$E$44*1000</f>
        <v>22.149160691999054</v>
      </c>
      <c r="T38" s="202"/>
      <c r="U38" s="130"/>
      <c r="V38" s="130"/>
      <c r="W38" s="203"/>
      <c r="X38" s="130"/>
      <c r="Y38" s="130"/>
      <c r="Z38" s="130"/>
      <c r="AA38" s="276"/>
      <c r="AB38" s="113"/>
      <c r="AC38" s="113"/>
      <c r="AD38" s="113"/>
      <c r="AE38" s="113">
        <f>SUM(T50:V50)*[2]QLD!$F$106</f>
        <v>73672.949443366349</v>
      </c>
      <c r="AF38" s="567"/>
      <c r="AJ38" s="114">
        <f>AE38</f>
        <v>73672.949443366349</v>
      </c>
      <c r="AK38" s="118">
        <f>AJ38/[2]Popn!$E$44*1000</f>
        <v>16.277727398832678</v>
      </c>
      <c r="AL38" s="119"/>
      <c r="AM38" s="109"/>
      <c r="AN38" s="110"/>
      <c r="AO38" s="110"/>
      <c r="AP38" s="111"/>
      <c r="AQ38" s="116"/>
      <c r="AR38" s="113"/>
      <c r="AS38" s="113"/>
      <c r="AT38" s="113"/>
      <c r="AU38" s="120"/>
      <c r="AV38" s="113"/>
      <c r="AW38" s="114"/>
      <c r="AX38" s="110"/>
      <c r="AY38" s="237"/>
      <c r="BB38" s="113"/>
      <c r="BC38" s="121"/>
      <c r="BG38" s="144"/>
    </row>
    <row r="39" spans="1:81">
      <c r="A39" s="699"/>
      <c r="B39" s="23" t="s">
        <v>7</v>
      </c>
      <c r="C39" s="17" t="s">
        <v>9</v>
      </c>
      <c r="D39" s="57"/>
      <c r="E39" s="2"/>
      <c r="F39" s="2"/>
      <c r="G39" s="63"/>
      <c r="H39" s="2"/>
      <c r="I39" s="20"/>
      <c r="J39" s="21">
        <f>(E50-J46)*'[2]C&amp;I composn'!$D$25</f>
        <v>28877.574474662513</v>
      </c>
      <c r="K39" s="21"/>
      <c r="L39" s="22"/>
      <c r="M39" s="2"/>
      <c r="N39" s="20"/>
      <c r="O39" s="21"/>
      <c r="P39" s="21"/>
      <c r="Q39" s="22"/>
      <c r="R39" s="29"/>
      <c r="T39" s="57"/>
      <c r="U39" s="2"/>
      <c r="V39" s="2"/>
      <c r="W39" s="199"/>
      <c r="X39" s="198"/>
      <c r="Y39" s="198"/>
      <c r="Z39" s="198"/>
      <c r="AA39" s="274"/>
      <c r="AB39" s="21"/>
      <c r="AC39" s="21"/>
      <c r="AD39" s="21"/>
      <c r="AE39" s="21"/>
      <c r="AF39" s="355"/>
      <c r="AG39" s="20"/>
      <c r="AH39" s="21"/>
      <c r="AI39" s="21"/>
      <c r="AJ39" s="22"/>
      <c r="AK39" s="29"/>
      <c r="AL39" s="19"/>
      <c r="AM39" s="57"/>
      <c r="AN39" s="2"/>
      <c r="AO39" s="2"/>
      <c r="AP39" s="63"/>
      <c r="AQ39" s="68"/>
      <c r="AR39" s="21"/>
      <c r="AS39" s="35"/>
      <c r="AT39" s="21"/>
      <c r="AU39" s="25"/>
      <c r="AV39" s="21"/>
      <c r="AW39" s="22"/>
      <c r="AX39" s="2"/>
      <c r="AY39" s="238"/>
      <c r="BB39" s="21"/>
      <c r="BC39" s="29"/>
      <c r="BS39" s="106"/>
    </row>
    <row r="40" spans="1:81">
      <c r="A40" s="699"/>
      <c r="B40" s="23"/>
      <c r="C40" s="17" t="s">
        <v>10</v>
      </c>
      <c r="D40" s="57"/>
      <c r="E40" s="2"/>
      <c r="F40" s="2"/>
      <c r="G40" s="63"/>
      <c r="H40" s="2"/>
      <c r="I40" s="20"/>
      <c r="J40" s="21">
        <f>(E50-J46)*'[2]C&amp;I composn'!$D$26</f>
        <v>10672.525158966275</v>
      </c>
      <c r="K40" s="21"/>
      <c r="L40" s="22"/>
      <c r="M40" s="2"/>
      <c r="N40" s="20"/>
      <c r="O40" s="21"/>
      <c r="P40" s="21"/>
      <c r="Q40" s="22"/>
      <c r="R40" s="305"/>
      <c r="T40" s="57"/>
      <c r="U40" s="2"/>
      <c r="V40" s="2"/>
      <c r="W40" s="199"/>
      <c r="X40" s="198"/>
      <c r="Y40" s="198"/>
      <c r="Z40" s="198"/>
      <c r="AA40" s="274"/>
      <c r="AB40" s="21"/>
      <c r="AC40" s="21"/>
      <c r="AD40" s="21"/>
      <c r="AE40" s="21">
        <f>SUM(T50:V50)*[2]QLD!$F$107</f>
        <v>35248.695638852005</v>
      </c>
      <c r="AF40" s="355"/>
      <c r="AG40" s="20"/>
      <c r="AH40" s="21"/>
      <c r="AI40" s="21"/>
      <c r="AJ40" s="22">
        <f>AE40</f>
        <v>35248.695638852005</v>
      </c>
      <c r="AK40" s="29">
        <f>AJ40/[2]Popn!$E$44*1000</f>
        <v>7.7880506089242552</v>
      </c>
      <c r="AL40" s="19"/>
      <c r="AM40" s="57"/>
      <c r="AN40" s="2"/>
      <c r="AO40" s="2"/>
      <c r="AP40" s="63"/>
      <c r="AQ40" s="68"/>
      <c r="AR40" s="21"/>
      <c r="AS40" s="21"/>
      <c r="AT40" s="21"/>
      <c r="AU40" s="240"/>
      <c r="AV40" s="21"/>
      <c r="AW40" s="195"/>
      <c r="AX40" s="2"/>
      <c r="AY40" s="238"/>
      <c r="BB40" s="21"/>
      <c r="BC40" s="29"/>
      <c r="BS40" s="106"/>
    </row>
    <row r="41" spans="1:81" s="106" customFormat="1">
      <c r="A41" s="699"/>
      <c r="B41" s="107" t="s">
        <v>67</v>
      </c>
      <c r="C41" s="108"/>
      <c r="D41" s="109"/>
      <c r="E41" s="110"/>
      <c r="F41" s="110"/>
      <c r="G41" s="63"/>
      <c r="H41" s="110"/>
      <c r="I41" s="112">
        <f>D50*'[2]Lfill en &amp; composn'!B$139</f>
        <v>41825.725000000006</v>
      </c>
      <c r="J41" s="113">
        <f>SUM(J39:J40)</f>
        <v>39550.099633628786</v>
      </c>
      <c r="K41" s="113">
        <f>(F50-K46)*'[2]Lfill en &amp; composn'!C$150</f>
        <v>0</v>
      </c>
      <c r="L41" s="114">
        <f>SUM(I41:K41)</f>
        <v>81375.824633628799</v>
      </c>
      <c r="M41" s="110"/>
      <c r="N41" s="112">
        <f>I41-AU41</f>
        <v>39563.703019693763</v>
      </c>
      <c r="O41" s="113">
        <f t="shared" ref="O41" si="14">J41-AV41</f>
        <v>37411.148194184039</v>
      </c>
      <c r="P41" s="113">
        <f t="shared" ref="P41" si="15">K41-AW41</f>
        <v>0</v>
      </c>
      <c r="Q41" s="114">
        <f>SUM(N41:P41)</f>
        <v>76974.851213877802</v>
      </c>
      <c r="R41" s="118">
        <f>Q41/[2]Popn!$E$44*1000</f>
        <v>17.007268666342604</v>
      </c>
      <c r="T41" s="109"/>
      <c r="U41" s="110"/>
      <c r="V41" s="110"/>
      <c r="W41" s="203"/>
      <c r="X41" s="130"/>
      <c r="Y41" s="130"/>
      <c r="Z41" s="130"/>
      <c r="AA41" s="276"/>
      <c r="AB41" s="113"/>
      <c r="AC41" s="113"/>
      <c r="AD41" s="113"/>
      <c r="AE41" s="113"/>
      <c r="AF41" s="567"/>
      <c r="AG41" s="112"/>
      <c r="AH41" s="113"/>
      <c r="AI41" s="113"/>
      <c r="AJ41" s="114">
        <f>SUM(AJ39:AJ40)</f>
        <v>35248.695638852005</v>
      </c>
      <c r="AK41" s="115">
        <f>AJ41/[2]Popn!$E$44*1000</f>
        <v>7.7880506089242552</v>
      </c>
      <c r="AL41" s="119"/>
      <c r="AM41" s="109"/>
      <c r="AN41" s="110"/>
      <c r="AO41" s="110"/>
      <c r="AP41" s="111"/>
      <c r="AQ41" s="116"/>
      <c r="AR41" s="113">
        <f>L41*'[2]Lfill en &amp; composn'!$D$25</f>
        <v>12816.692379796536</v>
      </c>
      <c r="AS41" s="113">
        <f>AR41/SUM($AR$7:$AR$49)</f>
        <v>3.9087926672810608E-2</v>
      </c>
      <c r="AT41" s="113">
        <f>AS41*'[2]Lfill en &amp; composn'!$E$64/'[2]Lfill en &amp; composn'!$B$25</f>
        <v>4400.9734197509933</v>
      </c>
      <c r="AU41" s="120">
        <f>$AT41*I41/SUM($I41:$K41)</f>
        <v>2262.0219803062441</v>
      </c>
      <c r="AV41" s="113">
        <f>$AT41*J41/SUM($I41:$K41)</f>
        <v>2138.9514394447492</v>
      </c>
      <c r="AW41" s="114">
        <f>$AT41*K41/SUM($I41:$K41)</f>
        <v>0</v>
      </c>
      <c r="AX41" s="110"/>
      <c r="AY41" s="241">
        <f>AU41</f>
        <v>2262.0219803062441</v>
      </c>
      <c r="AZ41" s="242">
        <f>AV41</f>
        <v>2138.9514394447492</v>
      </c>
      <c r="BA41" s="242">
        <f>AW41</f>
        <v>0</v>
      </c>
      <c r="BB41" s="243">
        <f>SUM(AY41:BA41)</f>
        <v>4400.9734197509933</v>
      </c>
      <c r="BC41" s="118">
        <f>BB41/[2]Popn!$E$44*1000</f>
        <v>0.9723765121048169</v>
      </c>
      <c r="BD41" s="122"/>
      <c r="BG41" s="144"/>
      <c r="BR41" s="6"/>
      <c r="BT41" s="6"/>
      <c r="BU41" s="6"/>
      <c r="BV41" s="6"/>
      <c r="BW41" s="6"/>
      <c r="BX41" s="6"/>
      <c r="BY41" s="6"/>
      <c r="BZ41" s="6"/>
      <c r="CA41" s="6"/>
    </row>
    <row r="42" spans="1:81">
      <c r="A42" s="699"/>
      <c r="B42" s="23" t="s">
        <v>11</v>
      </c>
      <c r="C42" s="17" t="s">
        <v>12</v>
      </c>
      <c r="D42" s="57"/>
      <c r="E42" s="2"/>
      <c r="F42" s="2"/>
      <c r="G42" s="63"/>
      <c r="H42" s="2"/>
      <c r="I42" s="20"/>
      <c r="J42" s="21"/>
      <c r="K42" s="21"/>
      <c r="L42" s="22"/>
      <c r="M42" s="256"/>
      <c r="N42" s="20"/>
      <c r="O42" s="21"/>
      <c r="P42" s="21"/>
      <c r="Q42" s="22"/>
      <c r="R42" s="305"/>
      <c r="T42" s="57"/>
      <c r="U42" s="2"/>
      <c r="V42" s="2"/>
      <c r="W42" s="199"/>
      <c r="X42" s="198"/>
      <c r="Y42" s="198"/>
      <c r="Z42" s="198"/>
      <c r="AA42" s="274"/>
      <c r="AB42" s="21"/>
      <c r="AC42" s="21"/>
      <c r="AD42" s="21"/>
      <c r="AE42" s="21"/>
      <c r="AF42" s="569" t="s">
        <v>96</v>
      </c>
      <c r="AG42" s="20"/>
      <c r="AH42" s="21"/>
      <c r="AI42" s="21"/>
      <c r="AJ42" s="22"/>
      <c r="AK42" s="29"/>
      <c r="AL42" s="19"/>
      <c r="AM42" s="57"/>
      <c r="AN42" s="2"/>
      <c r="AO42" s="2"/>
      <c r="AP42" s="63"/>
      <c r="AQ42" s="68"/>
      <c r="AR42" s="21"/>
      <c r="AS42" s="21"/>
      <c r="AT42" s="21"/>
      <c r="AU42" s="25"/>
      <c r="AV42" s="21"/>
      <c r="AW42" s="22"/>
      <c r="AX42" s="256" t="s">
        <v>96</v>
      </c>
      <c r="AY42" s="23"/>
      <c r="AZ42" s="19"/>
      <c r="BA42" s="19"/>
      <c r="BB42" s="19"/>
      <c r="BC42" s="24"/>
      <c r="BS42" s="106"/>
    </row>
    <row r="43" spans="1:81">
      <c r="A43" s="699"/>
      <c r="B43" s="23"/>
      <c r="C43" s="17" t="s">
        <v>13</v>
      </c>
      <c r="D43" s="57"/>
      <c r="E43" s="2"/>
      <c r="F43" s="2"/>
      <c r="G43" s="199">
        <f>[2]QLD!$F$19</f>
        <v>216854</v>
      </c>
      <c r="H43" s="3"/>
      <c r="I43" s="20"/>
      <c r="J43" s="21"/>
      <c r="K43" s="21">
        <f>G43</f>
        <v>216854</v>
      </c>
      <c r="L43" s="22">
        <f>K43</f>
        <v>216854</v>
      </c>
      <c r="M43" s="256" t="s">
        <v>95</v>
      </c>
      <c r="N43" s="20"/>
      <c r="O43" s="21"/>
      <c r="P43" s="21">
        <f>K43</f>
        <v>216854</v>
      </c>
      <c r="Q43" s="22">
        <f>SUM(N43:P43)</f>
        <v>216854</v>
      </c>
      <c r="R43" s="29"/>
      <c r="T43" s="57"/>
      <c r="U43" s="2"/>
      <c r="V43" s="198"/>
      <c r="W43" s="199"/>
      <c r="X43" s="198"/>
      <c r="Y43" s="198"/>
      <c r="Z43" s="198"/>
      <c r="AA43" s="282"/>
      <c r="AB43" s="21"/>
      <c r="AC43" s="21"/>
      <c r="AD43" s="21"/>
      <c r="AE43" s="21"/>
      <c r="AF43" s="569" t="s">
        <v>95</v>
      </c>
      <c r="AG43" s="20"/>
      <c r="AH43" s="21"/>
      <c r="AI43" s="21"/>
      <c r="AJ43" s="22"/>
      <c r="AK43" s="29"/>
      <c r="AL43" s="19"/>
      <c r="AM43" s="57"/>
      <c r="AN43" s="2"/>
      <c r="AO43" s="2"/>
      <c r="AP43" s="64"/>
      <c r="AQ43" s="69"/>
      <c r="AR43" s="21"/>
      <c r="AS43" s="21"/>
      <c r="AT43" s="21"/>
      <c r="AU43" s="25"/>
      <c r="AV43" s="21"/>
      <c r="AW43" s="22"/>
      <c r="AX43" s="256" t="s">
        <v>95</v>
      </c>
      <c r="AY43" s="20"/>
      <c r="AZ43" s="21"/>
      <c r="BA43" s="21"/>
      <c r="BB43" s="21"/>
      <c r="BC43" s="24"/>
      <c r="BS43" s="106"/>
    </row>
    <row r="44" spans="1:81">
      <c r="A44" s="699"/>
      <c r="B44" s="23"/>
      <c r="C44" s="17" t="s">
        <v>14</v>
      </c>
      <c r="D44" s="57"/>
      <c r="E44" s="2"/>
      <c r="F44" s="2"/>
      <c r="G44" s="199">
        <f>'[2]Haz-Qld'!$F$35</f>
        <v>144419</v>
      </c>
      <c r="H44" s="3"/>
      <c r="I44" s="20"/>
      <c r="J44" s="21">
        <f>G44</f>
        <v>144419</v>
      </c>
      <c r="K44" s="21"/>
      <c r="L44" s="22">
        <f>J44</f>
        <v>144419</v>
      </c>
      <c r="M44" s="256" t="s">
        <v>96</v>
      </c>
      <c r="N44" s="20"/>
      <c r="O44" s="21">
        <f>J44</f>
        <v>144419</v>
      </c>
      <c r="P44" s="21"/>
      <c r="Q44" s="22">
        <f>SUM(N44:P44)</f>
        <v>144419</v>
      </c>
      <c r="R44" s="29"/>
      <c r="T44" s="57"/>
      <c r="U44" s="2"/>
      <c r="V44" s="2"/>
      <c r="W44" s="199">
        <f>'[2]Haz-Qld'!$T$35</f>
        <v>35679</v>
      </c>
      <c r="X44" s="198"/>
      <c r="Y44" s="198"/>
      <c r="Z44" s="198"/>
      <c r="AA44" s="282"/>
      <c r="AB44" s="21"/>
      <c r="AC44" s="21"/>
      <c r="AD44" s="21"/>
      <c r="AE44" s="21"/>
      <c r="AF44" s="569" t="s">
        <v>96</v>
      </c>
      <c r="AG44" s="20"/>
      <c r="AH44" s="21">
        <f>W44</f>
        <v>35679</v>
      </c>
      <c r="AI44" s="21"/>
      <c r="AJ44" s="22">
        <f>SUM(AG44:AI44)</f>
        <v>35679</v>
      </c>
      <c r="AK44" s="29">
        <f>AJ44/[2]Popn!$E$44*1000</f>
        <v>7.8831245423315268</v>
      </c>
      <c r="AL44" s="19"/>
      <c r="AM44" s="57"/>
      <c r="AN44" s="2"/>
      <c r="AO44" s="2"/>
      <c r="AP44" s="254">
        <f>'[2]Haz-Qld'!$M$35</f>
        <v>14561</v>
      </c>
      <c r="AQ44" s="69"/>
      <c r="AR44" s="21"/>
      <c r="AS44" s="21"/>
      <c r="AT44" s="21"/>
      <c r="AU44" s="25"/>
      <c r="AV44" s="21"/>
      <c r="AW44" s="22"/>
      <c r="AX44" s="256" t="s">
        <v>96</v>
      </c>
      <c r="AY44" s="23"/>
      <c r="AZ44" s="21">
        <f>AP44</f>
        <v>14561</v>
      </c>
      <c r="BA44" s="19"/>
      <c r="BB44" s="641">
        <f>SUM(AY44:BA44)</f>
        <v>14561</v>
      </c>
      <c r="BC44" s="24"/>
      <c r="BS44" s="106"/>
    </row>
    <row r="45" spans="1:81">
      <c r="A45" s="699"/>
      <c r="B45" s="23"/>
      <c r="C45" s="17" t="s">
        <v>15</v>
      </c>
      <c r="D45" s="57"/>
      <c r="E45" s="2"/>
      <c r="F45" s="2"/>
      <c r="G45" s="199">
        <f>'[2]Haz-Qld'!$F$36</f>
        <v>101397</v>
      </c>
      <c r="H45" s="3"/>
      <c r="I45" s="20"/>
      <c r="J45" s="21">
        <f>G45</f>
        <v>101397</v>
      </c>
      <c r="K45" s="21"/>
      <c r="L45" s="22">
        <f>G45</f>
        <v>101397</v>
      </c>
      <c r="M45" s="256" t="s">
        <v>96</v>
      </c>
      <c r="N45" s="20"/>
      <c r="O45" s="21">
        <f>J45</f>
        <v>101397</v>
      </c>
      <c r="P45" s="21"/>
      <c r="Q45" s="22">
        <f>SUM(N45:P45)</f>
        <v>101397</v>
      </c>
      <c r="R45" s="29"/>
      <c r="T45" s="57"/>
      <c r="U45" s="2"/>
      <c r="V45" s="2"/>
      <c r="W45" s="199"/>
      <c r="X45" s="198"/>
      <c r="Y45" s="198"/>
      <c r="Z45" s="198"/>
      <c r="AA45" s="282"/>
      <c r="AB45" s="21"/>
      <c r="AC45" s="21"/>
      <c r="AD45" s="21"/>
      <c r="AE45" s="21"/>
      <c r="AF45" s="569" t="s">
        <v>94</v>
      </c>
      <c r="AG45" s="20"/>
      <c r="AH45" s="21"/>
      <c r="AI45" s="21"/>
      <c r="AJ45" s="22"/>
      <c r="AK45" s="29"/>
      <c r="AL45" s="19"/>
      <c r="AM45" s="57"/>
      <c r="AN45" s="2"/>
      <c r="AO45" s="2"/>
      <c r="AP45" s="64"/>
      <c r="AQ45" s="69"/>
      <c r="AR45" s="21"/>
      <c r="AS45" s="21"/>
      <c r="AT45" s="21"/>
      <c r="AU45" s="25"/>
      <c r="AV45" s="21"/>
      <c r="AW45" s="22"/>
      <c r="AX45" s="256" t="s">
        <v>94</v>
      </c>
      <c r="AY45" s="23"/>
      <c r="AZ45" s="19"/>
      <c r="BA45" s="19"/>
      <c r="BB45" s="21"/>
      <c r="BC45" s="24"/>
      <c r="BS45" s="106"/>
    </row>
    <row r="46" spans="1:81" s="106" customFormat="1">
      <c r="A46" s="699"/>
      <c r="B46" s="107" t="s">
        <v>67</v>
      </c>
      <c r="C46" s="108"/>
      <c r="D46" s="109"/>
      <c r="E46" s="110"/>
      <c r="F46" s="110"/>
      <c r="G46" s="63"/>
      <c r="H46" s="125"/>
      <c r="I46" s="112">
        <f>D50*'[2]Lfill en &amp; composn'!B$140</f>
        <v>29040.187891841975</v>
      </c>
      <c r="J46" s="113">
        <f>SUM(J42:J45)</f>
        <v>245816</v>
      </c>
      <c r="K46" s="113">
        <f>SUM(K42:K45)</f>
        <v>216854</v>
      </c>
      <c r="L46" s="114">
        <f>SUM(I46:K46)</f>
        <v>491710.18789184198</v>
      </c>
      <c r="M46" s="110"/>
      <c r="N46" s="112">
        <f>I46</f>
        <v>29040.187891841975</v>
      </c>
      <c r="O46" s="113">
        <f>J46</f>
        <v>245816</v>
      </c>
      <c r="P46" s="113">
        <f>K46</f>
        <v>216854</v>
      </c>
      <c r="Q46" s="114">
        <f>SUM(N46:P46)</f>
        <v>491710.18789184198</v>
      </c>
      <c r="R46" s="118">
        <f>Q46/[2]Popn!$E$44*1000</f>
        <v>108.64129179306107</v>
      </c>
      <c r="T46" s="109"/>
      <c r="U46" s="110"/>
      <c r="V46" s="110"/>
      <c r="W46" s="203"/>
      <c r="X46" s="130"/>
      <c r="Y46" s="130"/>
      <c r="Z46" s="130"/>
      <c r="AA46" s="284"/>
      <c r="AB46" s="113"/>
      <c r="AC46" s="113"/>
      <c r="AD46" s="113"/>
      <c r="AE46" s="113"/>
      <c r="AF46" s="567"/>
      <c r="AG46" s="112"/>
      <c r="AH46" s="113"/>
      <c r="AI46" s="113"/>
      <c r="AJ46" s="114">
        <f>SUM(AJ42:AJ45)</f>
        <v>35679</v>
      </c>
      <c r="AK46" s="115">
        <f>AJ46/[2]Popn!$E$44*1000</f>
        <v>7.8831245423315268</v>
      </c>
      <c r="AL46" s="119"/>
      <c r="AM46" s="109"/>
      <c r="AN46" s="110"/>
      <c r="AO46" s="110"/>
      <c r="AP46" s="124"/>
      <c r="AQ46" s="126"/>
      <c r="AR46" s="113"/>
      <c r="AS46" s="113"/>
      <c r="AT46" s="113"/>
      <c r="AU46" s="120"/>
      <c r="AV46" s="113"/>
      <c r="AW46" s="114"/>
      <c r="AX46" s="110"/>
      <c r="AY46" s="127"/>
      <c r="AZ46" s="113">
        <f t="shared" ref="AZ46" si="16">SUM(AZ42:AZ45)</f>
        <v>14561</v>
      </c>
      <c r="BA46" s="113"/>
      <c r="BB46" s="243">
        <f>SUM(AY46:BA46)</f>
        <v>14561</v>
      </c>
      <c r="BC46" s="121"/>
      <c r="BG46" s="144"/>
      <c r="BR46" s="6"/>
      <c r="BT46" s="6"/>
      <c r="BU46" s="6"/>
      <c r="BV46" s="6"/>
      <c r="BW46" s="6"/>
      <c r="BX46" s="6"/>
      <c r="BY46" s="6"/>
      <c r="BZ46" s="6"/>
      <c r="CA46" s="6"/>
      <c r="CB46" s="6"/>
      <c r="CC46" s="6"/>
    </row>
    <row r="47" spans="1:81" s="106" customFormat="1" ht="13.5" thickBot="1">
      <c r="A47" s="699"/>
      <c r="B47" s="131" t="s">
        <v>37</v>
      </c>
      <c r="C47" s="132" t="s">
        <v>1</v>
      </c>
      <c r="D47" s="109"/>
      <c r="E47" s="110"/>
      <c r="F47" s="110"/>
      <c r="G47" s="203">
        <f>[2]QLD!$F$27</f>
        <v>4302838</v>
      </c>
      <c r="H47" s="130"/>
      <c r="I47" s="112"/>
      <c r="J47" s="113"/>
      <c r="K47" s="113"/>
      <c r="L47" s="114">
        <f>G47</f>
        <v>4302838</v>
      </c>
      <c r="M47" s="110"/>
      <c r="N47" s="127"/>
      <c r="O47" s="119"/>
      <c r="P47" s="119"/>
      <c r="Q47" s="113">
        <f>L47</f>
        <v>4302838</v>
      </c>
      <c r="R47" s="118">
        <f>Q47/[2]Popn!$E$44*1000</f>
        <v>950.69390508357026</v>
      </c>
      <c r="T47" s="109"/>
      <c r="U47" s="110"/>
      <c r="V47" s="110"/>
      <c r="W47" s="203">
        <f>[2]QLD!$K$27</f>
        <v>847160</v>
      </c>
      <c r="X47" s="130"/>
      <c r="Y47" s="130"/>
      <c r="Z47" s="130"/>
      <c r="AA47" s="285"/>
      <c r="AB47" s="113"/>
      <c r="AC47" s="113"/>
      <c r="AD47" s="113"/>
      <c r="AE47" s="113"/>
      <c r="AF47" s="567"/>
      <c r="AG47" s="112"/>
      <c r="AH47" s="113"/>
      <c r="AI47" s="113"/>
      <c r="AJ47" s="114">
        <f>W47</f>
        <v>847160</v>
      </c>
      <c r="AK47" s="115">
        <f>AJ47/[2]Popn!$E$44*1000</f>
        <v>187.17642835509898</v>
      </c>
      <c r="AL47" s="119"/>
      <c r="AM47" s="109"/>
      <c r="AN47" s="110"/>
      <c r="AO47" s="110"/>
      <c r="AP47" s="111"/>
      <c r="AQ47" s="117"/>
      <c r="AR47" s="113"/>
      <c r="AS47" s="113"/>
      <c r="AT47" s="113"/>
      <c r="AU47" s="120"/>
      <c r="AV47" s="113"/>
      <c r="AW47" s="114"/>
      <c r="AX47" s="110"/>
      <c r="AY47" s="127"/>
      <c r="AZ47" s="119"/>
      <c r="BA47" s="119"/>
      <c r="BB47" s="119"/>
      <c r="BC47" s="121"/>
      <c r="BG47" s="144"/>
      <c r="BR47" s="6"/>
      <c r="BT47" s="6"/>
      <c r="BU47" s="6"/>
      <c r="BV47" s="6"/>
      <c r="BW47" s="6"/>
      <c r="BX47" s="6"/>
      <c r="BY47" s="6"/>
      <c r="BZ47" s="6"/>
      <c r="CA47" s="6"/>
      <c r="CB47" s="6"/>
      <c r="CC47" s="6"/>
    </row>
    <row r="48" spans="1:81" ht="13.5" thickBot="1">
      <c r="B48" s="19"/>
      <c r="C48" s="38"/>
      <c r="D48" s="57"/>
      <c r="E48" s="2"/>
      <c r="F48" s="2"/>
      <c r="G48" s="63"/>
      <c r="H48" s="2"/>
      <c r="I48" s="20"/>
      <c r="J48" s="21"/>
      <c r="K48" s="21"/>
      <c r="L48" s="22"/>
      <c r="M48" s="2"/>
      <c r="N48" s="23"/>
      <c r="O48" s="19"/>
      <c r="P48" s="19"/>
      <c r="Q48" s="19"/>
      <c r="R48" s="24"/>
      <c r="T48" s="57"/>
      <c r="U48" s="2"/>
      <c r="V48" s="2"/>
      <c r="W48" s="63"/>
      <c r="X48" s="2"/>
      <c r="Y48" s="2"/>
      <c r="Z48" s="2"/>
      <c r="AA48" s="274"/>
      <c r="AB48" s="21"/>
      <c r="AC48" s="21"/>
      <c r="AD48" s="21"/>
      <c r="AE48" s="21"/>
      <c r="AF48" s="355"/>
      <c r="AG48" s="20"/>
      <c r="AH48" s="21"/>
      <c r="AI48" s="21"/>
      <c r="AJ48" s="22"/>
      <c r="AK48" s="29"/>
      <c r="AL48" s="19"/>
      <c r="AM48" s="57"/>
      <c r="AN48" s="2"/>
      <c r="AO48" s="2"/>
      <c r="AP48" s="63"/>
      <c r="AQ48" s="68"/>
      <c r="AR48" s="21"/>
      <c r="AS48" s="21"/>
      <c r="AT48" s="21"/>
      <c r="AU48" s="25"/>
      <c r="AV48" s="21"/>
      <c r="AW48" s="22"/>
      <c r="AX48" s="2"/>
      <c r="AY48" s="23"/>
      <c r="AZ48" s="19"/>
      <c r="BA48" s="19"/>
      <c r="BB48" s="19"/>
      <c r="BC48" s="24"/>
      <c r="BS48" s="106"/>
    </row>
    <row r="49" spans="1:73" ht="13.5" thickBot="1">
      <c r="C49" s="210" t="s">
        <v>90</v>
      </c>
      <c r="D49" s="58"/>
      <c r="E49" s="59"/>
      <c r="F49" s="2"/>
      <c r="G49" s="208">
        <f>[2]QLD!$F$28</f>
        <v>4768300</v>
      </c>
      <c r="H49" s="2"/>
      <c r="I49" s="20"/>
      <c r="J49" s="21"/>
      <c r="K49" s="21"/>
      <c r="L49" s="22"/>
      <c r="M49" s="2"/>
      <c r="N49" s="23"/>
      <c r="O49" s="21"/>
      <c r="P49" s="19"/>
      <c r="Q49" s="19"/>
      <c r="R49" s="24"/>
      <c r="T49" s="58"/>
      <c r="U49" s="59"/>
      <c r="V49" s="2"/>
      <c r="W49" s="208">
        <f>[2]QLD!$K$28</f>
        <v>0</v>
      </c>
      <c r="X49" s="198"/>
      <c r="Y49" s="198"/>
      <c r="Z49" s="198"/>
      <c r="AA49" s="274"/>
      <c r="AB49" s="21"/>
      <c r="AC49" s="21"/>
      <c r="AD49" s="21"/>
      <c r="AE49" s="21"/>
      <c r="AF49" s="355"/>
      <c r="AG49" s="20"/>
      <c r="AH49" s="21"/>
      <c r="AI49" s="21"/>
      <c r="AJ49" s="22"/>
      <c r="AK49" s="40"/>
      <c r="AL49" s="19"/>
      <c r="AM49" s="58"/>
      <c r="AN49" s="59"/>
      <c r="AO49" s="2"/>
      <c r="AP49" s="65"/>
      <c r="AQ49" s="68"/>
      <c r="AR49" s="21"/>
      <c r="AS49" s="21"/>
      <c r="AT49" s="21"/>
      <c r="AU49" s="25"/>
      <c r="AV49" s="21"/>
      <c r="AW49" s="22"/>
      <c r="AX49" s="2"/>
      <c r="AY49" s="23"/>
      <c r="AZ49" s="19"/>
      <c r="BA49" s="19"/>
      <c r="BB49" s="19"/>
      <c r="BC49" s="24"/>
      <c r="BS49" s="106"/>
    </row>
    <row r="50" spans="1:73" ht="13.5" thickBot="1">
      <c r="C50" s="135" t="s">
        <v>92</v>
      </c>
      <c r="D50" s="134">
        <f>[2]QLD!$F$12-[2]QLD!$O$56</f>
        <v>1673029</v>
      </c>
      <c r="E50" s="134">
        <f>[2]QLD!$F$17</f>
        <v>1673099</v>
      </c>
      <c r="F50" s="134">
        <f>[2]QLD!$F$18</f>
        <v>823521</v>
      </c>
      <c r="G50" s="66"/>
      <c r="H50" s="535"/>
      <c r="I50" s="41">
        <f>SUM(I46,I41,I38,I37,I27,I22,I16,I12)</f>
        <v>1673028.9999999998</v>
      </c>
      <c r="J50" s="218">
        <f>SUM(J46,J41,J38,J37,J27,J22,J16,J12)</f>
        <v>1673099</v>
      </c>
      <c r="K50" s="218">
        <f>SUM(K46,K41,K38,K37,K27,K22,K16,K12)</f>
        <v>823521</v>
      </c>
      <c r="L50" s="42">
        <f>SUM(L46,L41,L38,L37,L27,L22,L16,L12)</f>
        <v>4169649</v>
      </c>
      <c r="M50" s="43"/>
      <c r="N50" s="44">
        <f>SUM(N46,N41,N38,N37,N27,N22,N16,N12,N49)</f>
        <v>1593980.2132760719</v>
      </c>
      <c r="O50" s="45">
        <f>SUM(O46,O41,O38,O37,O27,O22,O16,O12,O49)</f>
        <v>1603581.9766704198</v>
      </c>
      <c r="P50" s="45">
        <f>SUM(P46,P41,P38,P37,P27,P22,P16,P12,P49)</f>
        <v>817675.01800103812</v>
      </c>
      <c r="Q50" s="133">
        <f>SUM(Q46,Q41,Q38,Q37,Q27,Q22,Q16,Q12,Q49)</f>
        <v>4015237.2079475303</v>
      </c>
      <c r="R50" s="27">
        <f>SUM(R46,R41,R38,R37,R27,R22,R16,R12)</f>
        <v>887.14972328971908</v>
      </c>
      <c r="T50" s="60">
        <f>[2]QLD!$C$47</f>
        <v>1067054</v>
      </c>
      <c r="U50" s="134">
        <f>[2]QLD!$E$47</f>
        <v>1092837</v>
      </c>
      <c r="V50" s="134">
        <f>[2]QLD!$K$18</f>
        <v>949298</v>
      </c>
      <c r="W50" s="66"/>
      <c r="X50" s="534"/>
      <c r="Y50" s="534"/>
      <c r="Z50" s="534"/>
      <c r="AA50" s="287"/>
      <c r="AB50" s="45"/>
      <c r="AC50" s="45"/>
      <c r="AD50" s="45"/>
      <c r="AE50" s="45"/>
      <c r="AF50" s="230" t="s">
        <v>91</v>
      </c>
      <c r="AG50" s="44">
        <f>$AJ50/SUM($T50:$V50)*T50</f>
        <v>1005000.8083818642</v>
      </c>
      <c r="AH50" s="45">
        <f>$AJ50/SUM($T50:$V50)*U50</f>
        <v>1029284.4302440282</v>
      </c>
      <c r="AI50" s="45">
        <f>$AJ50/SUM($T50:$V50)*V50</f>
        <v>894092.76137410745</v>
      </c>
      <c r="AJ50" s="354">
        <f>SUM(AJ46,AJ41,AJ38,AJ37,AJ27,AJ22,AJ16,AJ12,AJ49)</f>
        <v>2928378</v>
      </c>
      <c r="AK50" s="27">
        <f>SUM(AK46,AK41,AK38,AK37,AK27,AK22,AK16,AK12,AK49)</f>
        <v>647.01276608155251</v>
      </c>
      <c r="AL50" s="19"/>
      <c r="AM50" s="60"/>
      <c r="AN50" s="706"/>
      <c r="AO50" s="707"/>
      <c r="AP50" s="66"/>
      <c r="AQ50" s="71"/>
      <c r="AR50" s="45">
        <f>SUM(AR7:AR49)</f>
        <v>327893.89130510652</v>
      </c>
      <c r="AS50" s="46">
        <f>SUM(AS7:AS49)</f>
        <v>1</v>
      </c>
      <c r="AT50" s="45">
        <f>SUM(AT7:AT49)</f>
        <v>270670.89601282851</v>
      </c>
      <c r="AU50" s="47"/>
      <c r="AV50" s="45"/>
      <c r="AW50" s="214"/>
      <c r="AX50" s="43"/>
      <c r="AY50" s="44">
        <f>SUM(AY46,AY41,AY38,AY37,AY27,AY22,AY16,AY12)</f>
        <v>218048.78672392786</v>
      </c>
      <c r="AZ50" s="45">
        <f>SUM(AZ46,AZ41,AZ38,AZ37,AZ27,AZ22,AZ16,AZ12)</f>
        <v>133078.02332958</v>
      </c>
      <c r="BA50" s="45">
        <f>SUM(BA46,BA41,BA38,BA37,BA27,BA22,BA16,BA12)</f>
        <v>5845.9819989617718</v>
      </c>
      <c r="BB50" s="354">
        <f>SUM(BB46,BB41,BB38,BB37,BB27,BB22,BB16,BB12,BB49)</f>
        <v>356972.79205246968</v>
      </c>
      <c r="BC50" s="27">
        <f>SUM(BC46,BC41,BC38,BC37,BC27,BC22,BC16,BC12,BC49)</f>
        <v>75.654441030088933</v>
      </c>
      <c r="BS50" s="106"/>
    </row>
    <row r="51" spans="1:73" ht="13.5" thickBot="1">
      <c r="C51" s="136" t="s">
        <v>65</v>
      </c>
      <c r="Q51" s="49">
        <f>Q50+Q47</f>
        <v>8318075.2079475299</v>
      </c>
      <c r="R51" s="216">
        <f>R50+R47</f>
        <v>1837.8436283732894</v>
      </c>
      <c r="W51" s="52"/>
      <c r="AJ51" s="353">
        <f>AJ50+AJ47</f>
        <v>3775538</v>
      </c>
      <c r="AK51" s="216">
        <f>AK50+AK47</f>
        <v>834.18919443665152</v>
      </c>
      <c r="AW51" s="152"/>
      <c r="BB51" s="353">
        <f>BB50+BB47</f>
        <v>356972.79205246968</v>
      </c>
      <c r="BC51" s="216">
        <f>BC50+BC47</f>
        <v>75.654441030088933</v>
      </c>
      <c r="BS51" s="106"/>
    </row>
    <row r="52" spans="1:73">
      <c r="BS52" s="106"/>
    </row>
    <row r="53" spans="1:73" ht="13.5" thickBot="1">
      <c r="E53" s="215"/>
      <c r="F53" s="215"/>
      <c r="G53" s="215"/>
      <c r="H53" s="215"/>
      <c r="R53" s="215"/>
      <c r="W53" s="215"/>
      <c r="X53" s="215"/>
      <c r="Y53" s="215"/>
      <c r="Z53" s="215"/>
      <c r="AA53" s="215"/>
      <c r="AG53" s="215"/>
      <c r="AH53" s="215"/>
      <c r="AI53" s="215"/>
      <c r="AJ53" s="215"/>
      <c r="AO53" s="215"/>
      <c r="AP53" s="215"/>
      <c r="AQ53" s="215"/>
      <c r="AR53" s="215"/>
      <c r="AS53" s="215"/>
      <c r="AT53" s="215"/>
      <c r="AU53" s="215"/>
      <c r="AV53" s="215"/>
      <c r="AW53" s="215"/>
      <c r="AY53" s="215"/>
      <c r="AZ53" s="215"/>
      <c r="BA53" s="215"/>
      <c r="BB53" s="215"/>
      <c r="BC53" s="215"/>
      <c r="BS53" s="106"/>
    </row>
    <row r="54" spans="1:73" ht="18.75" customHeight="1">
      <c r="A54" s="699" t="s">
        <v>64</v>
      </c>
      <c r="B54" s="16" t="s">
        <v>3</v>
      </c>
      <c r="C54" s="537" t="s">
        <v>16</v>
      </c>
      <c r="D54" s="55"/>
      <c r="E54" s="2"/>
      <c r="F54" s="2"/>
      <c r="G54" s="63"/>
      <c r="H54" s="5"/>
      <c r="I54" s="151"/>
      <c r="J54" s="26"/>
      <c r="K54" s="26"/>
      <c r="L54" s="133"/>
      <c r="M54" s="56"/>
      <c r="N54" s="16"/>
      <c r="O54" s="18"/>
      <c r="P54" s="18"/>
      <c r="Q54" s="244"/>
      <c r="R54" s="24"/>
      <c r="T54" s="55"/>
      <c r="U54" s="56"/>
      <c r="V54" s="56"/>
      <c r="W54" s="199"/>
      <c r="X54" s="198"/>
      <c r="Y54" s="198"/>
      <c r="Z54" s="198"/>
      <c r="AA54" s="272"/>
      <c r="AB54" s="26"/>
      <c r="AC54" s="26"/>
      <c r="AD54" s="26"/>
      <c r="AE54" s="26"/>
      <c r="AF54" s="566"/>
      <c r="AG54" s="20"/>
      <c r="AH54" s="21"/>
      <c r="AI54" s="21"/>
      <c r="AJ54" s="22"/>
      <c r="AK54" s="27"/>
      <c r="AL54" s="19"/>
      <c r="AM54" s="55"/>
      <c r="AN54" s="56"/>
      <c r="AO54" s="2"/>
      <c r="AP54" s="63"/>
      <c r="AQ54" s="67"/>
      <c r="AR54" s="21"/>
      <c r="AS54" s="21"/>
      <c r="AT54" s="21"/>
      <c r="AU54" s="25"/>
      <c r="AV54" s="21"/>
      <c r="AW54" s="22"/>
      <c r="AX54" s="56"/>
      <c r="AY54" s="23"/>
      <c r="AZ54" s="19"/>
      <c r="BA54" s="19"/>
      <c r="BB54" s="19"/>
      <c r="BC54" s="24"/>
      <c r="BD54" s="8"/>
      <c r="BH54" s="700" t="s">
        <v>70</v>
      </c>
      <c r="BI54" s="701"/>
      <c r="BJ54" s="701"/>
      <c r="BK54" s="701"/>
      <c r="BL54" s="702"/>
      <c r="BM54" s="700" t="s">
        <v>71</v>
      </c>
      <c r="BN54" s="702"/>
      <c r="BP54" s="8"/>
      <c r="BQ54" s="8"/>
      <c r="BR54" s="8"/>
      <c r="BS54" s="8"/>
      <c r="BT54" s="8"/>
      <c r="BU54" s="8"/>
    </row>
    <row r="55" spans="1:73">
      <c r="A55" s="699"/>
      <c r="B55" s="23"/>
      <c r="C55" s="17" t="s">
        <v>17</v>
      </c>
      <c r="D55" s="57"/>
      <c r="E55" s="2"/>
      <c r="F55" s="2"/>
      <c r="G55" s="63"/>
      <c r="H55" s="5"/>
      <c r="I55" s="20"/>
      <c r="J55" s="21"/>
      <c r="K55" s="21"/>
      <c r="L55" s="22"/>
      <c r="M55" s="2"/>
      <c r="N55" s="23"/>
      <c r="O55" s="19"/>
      <c r="P55" s="19"/>
      <c r="Q55" s="19"/>
      <c r="R55" s="24"/>
      <c r="T55" s="57"/>
      <c r="U55" s="2"/>
      <c r="V55" s="2"/>
      <c r="W55" s="199"/>
      <c r="X55" s="198"/>
      <c r="Y55" s="198"/>
      <c r="Z55" s="198"/>
      <c r="AA55" s="272"/>
      <c r="AB55" s="21"/>
      <c r="AC55" s="21"/>
      <c r="AD55" s="21"/>
      <c r="AE55" s="21"/>
      <c r="AF55" s="355"/>
      <c r="AG55" s="20"/>
      <c r="AH55" s="21"/>
      <c r="AI55" s="21"/>
      <c r="AJ55" s="22"/>
      <c r="AK55" s="29"/>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7"/>
      <c r="BS55" s="7"/>
      <c r="BT55" s="7"/>
      <c r="BU55" s="7"/>
    </row>
    <row r="56" spans="1:73">
      <c r="A56" s="699"/>
      <c r="B56" s="23"/>
      <c r="C56" s="17" t="s">
        <v>18</v>
      </c>
      <c r="D56" s="57"/>
      <c r="E56" s="2"/>
      <c r="F56" s="2"/>
      <c r="G56" s="63"/>
      <c r="H56" s="5"/>
      <c r="I56" s="20"/>
      <c r="J56" s="21"/>
      <c r="K56" s="21"/>
      <c r="L56" s="22"/>
      <c r="M56" s="2"/>
      <c r="N56" s="23"/>
      <c r="O56" s="19"/>
      <c r="P56" s="19"/>
      <c r="Q56" s="19"/>
      <c r="R56" s="24"/>
      <c r="T56" s="57"/>
      <c r="U56" s="2"/>
      <c r="V56" s="2"/>
      <c r="W56" s="199"/>
      <c r="X56" s="198"/>
      <c r="Y56" s="198"/>
      <c r="Z56" s="198"/>
      <c r="AA56" s="272"/>
      <c r="AB56" s="21"/>
      <c r="AC56" s="21"/>
      <c r="AD56" s="21"/>
      <c r="AE56" s="21"/>
      <c r="AF56" s="355"/>
      <c r="AG56" s="20"/>
      <c r="AH56" s="21"/>
      <c r="AI56" s="21"/>
      <c r="AJ56" s="22"/>
      <c r="AK56" s="29"/>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0"/>
      <c r="BS56" s="31"/>
      <c r="BT56" s="31"/>
      <c r="BU56" s="32"/>
    </row>
    <row r="57" spans="1:73">
      <c r="A57" s="699"/>
      <c r="B57" s="23"/>
      <c r="C57" s="17" t="s">
        <v>182</v>
      </c>
      <c r="D57" s="57"/>
      <c r="E57" s="2"/>
      <c r="F57" s="2"/>
      <c r="G57" s="63"/>
      <c r="H57" s="2"/>
      <c r="I57" s="20"/>
      <c r="J57" s="21"/>
      <c r="K57" s="21"/>
      <c r="L57" s="22"/>
      <c r="M57" s="2"/>
      <c r="N57" s="23"/>
      <c r="O57" s="19"/>
      <c r="P57" s="19"/>
      <c r="Q57" s="19"/>
      <c r="R57" s="24"/>
      <c r="T57" s="57"/>
      <c r="U57" s="2"/>
      <c r="V57" s="2"/>
      <c r="W57" s="199"/>
      <c r="X57" s="198"/>
      <c r="Y57" s="198"/>
      <c r="Z57" s="198"/>
      <c r="AA57" s="274"/>
      <c r="AB57" s="21"/>
      <c r="AC57" s="21"/>
      <c r="AD57" s="21"/>
      <c r="AE57" s="21"/>
      <c r="AF57" s="355"/>
      <c r="AG57" s="20"/>
      <c r="AH57" s="21"/>
      <c r="AI57" s="21"/>
      <c r="AJ57" s="22"/>
      <c r="AK57" s="29"/>
      <c r="AL57" s="19"/>
      <c r="AM57" s="57"/>
      <c r="AN57" s="2"/>
      <c r="AO57" s="2"/>
      <c r="AP57" s="63"/>
      <c r="AQ57" s="68"/>
      <c r="AR57" s="21"/>
      <c r="AS57" s="21"/>
      <c r="AT57" s="21"/>
      <c r="AU57" s="25"/>
      <c r="AV57" s="21"/>
      <c r="AW57" s="22"/>
      <c r="AX57" s="2"/>
      <c r="AY57" s="23"/>
      <c r="AZ57" s="19"/>
      <c r="BA57" s="19"/>
      <c r="BB57" s="19"/>
      <c r="BC57" s="24"/>
      <c r="BD57" s="30"/>
      <c r="BG57" s="145" t="s">
        <v>72</v>
      </c>
      <c r="BH57" s="52">
        <f>N97/1000</f>
        <v>1602.0147232249228</v>
      </c>
      <c r="BI57" s="52">
        <f>O97/1000</f>
        <v>1099.0219549128326</v>
      </c>
      <c r="BJ57" s="52">
        <f>P97/1000</f>
        <v>878.02340277714427</v>
      </c>
      <c r="BK57" s="53">
        <f>Q97/1000</f>
        <v>3579.0600809148996</v>
      </c>
      <c r="BL57" s="54">
        <f>R97/1000</f>
        <v>0.80345794974283147</v>
      </c>
      <c r="BM57" s="51">
        <f>Q98/1000</f>
        <v>8467.4460809149004</v>
      </c>
      <c r="BN57" s="54">
        <f>R98/1000</f>
        <v>1.900844555252835</v>
      </c>
      <c r="BP57" s="30"/>
      <c r="BQ57" s="30"/>
      <c r="BR57" s="30"/>
      <c r="BS57" s="31"/>
      <c r="BT57" s="31"/>
      <c r="BU57" s="32"/>
    </row>
    <row r="58" spans="1:73">
      <c r="A58" s="699"/>
      <c r="B58" s="23"/>
      <c r="C58" s="17" t="s">
        <v>183</v>
      </c>
      <c r="D58" s="57"/>
      <c r="E58" s="2"/>
      <c r="F58" s="2"/>
      <c r="G58" s="63"/>
      <c r="H58" s="2"/>
      <c r="I58" s="20"/>
      <c r="J58" s="21"/>
      <c r="K58" s="21"/>
      <c r="L58" s="22"/>
      <c r="M58" s="2"/>
      <c r="N58" s="23"/>
      <c r="O58" s="19"/>
      <c r="P58" s="19"/>
      <c r="Q58" s="19"/>
      <c r="R58" s="33"/>
      <c r="T58" s="57"/>
      <c r="U58" s="2"/>
      <c r="V58" s="2"/>
      <c r="W58" s="199"/>
      <c r="X58" s="198"/>
      <c r="Y58" s="198"/>
      <c r="Z58" s="198"/>
      <c r="AA58" s="274"/>
      <c r="AB58" s="21"/>
      <c r="AC58" s="21"/>
      <c r="AD58" s="21"/>
      <c r="AE58" s="21"/>
      <c r="AF58" s="355"/>
      <c r="AG58" s="20"/>
      <c r="AH58" s="21"/>
      <c r="AI58" s="21"/>
      <c r="AJ58" s="22"/>
      <c r="AK58" s="29"/>
      <c r="AL58" s="19"/>
      <c r="AM58" s="57"/>
      <c r="AN58" s="2"/>
      <c r="AO58" s="2"/>
      <c r="AP58" s="63"/>
      <c r="AQ58" s="68"/>
      <c r="AR58" s="21"/>
      <c r="AS58" s="21"/>
      <c r="AT58" s="21"/>
      <c r="AU58" s="25"/>
      <c r="AV58" s="21"/>
      <c r="AW58" s="22"/>
      <c r="AX58" s="2"/>
      <c r="AY58" s="23"/>
      <c r="AZ58" s="19"/>
      <c r="BA58" s="19"/>
      <c r="BB58" s="19"/>
      <c r="BC58" s="24"/>
      <c r="BD58" s="30"/>
      <c r="BG58" s="77" t="s">
        <v>68</v>
      </c>
      <c r="BH58" s="52">
        <f>AG97/1000</f>
        <v>1219.7004394041974</v>
      </c>
      <c r="BI58" s="52">
        <f>AH97/1000</f>
        <v>1074.889801411143</v>
      </c>
      <c r="BJ58" s="52">
        <f>AI97/1000</f>
        <v>1279.07229618466</v>
      </c>
      <c r="BK58" s="53">
        <f>AJ97/1000</f>
        <v>3573.6625370000002</v>
      </c>
      <c r="BL58" s="54">
        <f>AK97/1000</f>
        <v>0.80224626302356206</v>
      </c>
      <c r="BM58" s="51">
        <f>AJ98/1000</f>
        <v>4411.4845370000003</v>
      </c>
      <c r="BN58" s="54">
        <f>AK98/1000</f>
        <v>0.99032769534122322</v>
      </c>
    </row>
    <row r="59" spans="1:73" s="106" customFormat="1">
      <c r="A59" s="699"/>
      <c r="B59" s="107" t="s">
        <v>67</v>
      </c>
      <c r="C59" s="108"/>
      <c r="D59" s="109"/>
      <c r="E59" s="110"/>
      <c r="F59" s="110"/>
      <c r="G59" s="63"/>
      <c r="H59" s="110"/>
      <c r="I59" s="112">
        <f>D97*'[2]Lfill en &amp; composn'!B$133</f>
        <v>85148.784234009421</v>
      </c>
      <c r="J59" s="113">
        <f>(E97-J93)*'[2]C&amp;I composn'!$D$10</f>
        <v>38636.096120744725</v>
      </c>
      <c r="K59" s="113">
        <f>(F97-K93)*'[2]Lfill en &amp; composn'!C$144</f>
        <v>496675.73961822345</v>
      </c>
      <c r="L59" s="114">
        <f>SUM(I59:K59)</f>
        <v>620460.61997297755</v>
      </c>
      <c r="M59" s="110"/>
      <c r="N59" s="112">
        <f>I59</f>
        <v>85148.784234009421</v>
      </c>
      <c r="O59" s="113">
        <f t="shared" ref="O59" si="17">J59</f>
        <v>38636.096120744725</v>
      </c>
      <c r="P59" s="113">
        <f t="shared" ref="P59" si="18">K59</f>
        <v>496675.73961822345</v>
      </c>
      <c r="Q59" s="114">
        <f>SUM(N59:P59)</f>
        <v>620460.61997297755</v>
      </c>
      <c r="R59" s="118">
        <f>Q59/[2]Popn!$E$43*1000</f>
        <v>139.2862948230312</v>
      </c>
      <c r="T59" s="109"/>
      <c r="U59" s="110"/>
      <c r="V59" s="110"/>
      <c r="W59" s="203"/>
      <c r="X59" s="130"/>
      <c r="Y59" s="130"/>
      <c r="Z59" s="130"/>
      <c r="AA59" s="276"/>
      <c r="AB59" s="113"/>
      <c r="AC59" s="113"/>
      <c r="AD59" s="113"/>
      <c r="AE59" s="113">
        <f>SUM(T97:V97)*[2]QLD!$E$101</f>
        <v>931958.5423990133</v>
      </c>
      <c r="AF59" s="567"/>
      <c r="AG59" s="112"/>
      <c r="AH59" s="113"/>
      <c r="AI59" s="113"/>
      <c r="AJ59" s="114">
        <f>AE59</f>
        <v>931958.5423990133</v>
      </c>
      <c r="AK59" s="115">
        <f>AJ59/[2]Popn!$E$43*1000</f>
        <v>209.21400669245514</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237.52827677507676</v>
      </c>
      <c r="BI59" s="52">
        <f>AZ97/1000</f>
        <v>110.28004508716732</v>
      </c>
      <c r="BJ59" s="52">
        <f>BA97/1000</f>
        <v>7.7705972228557663</v>
      </c>
      <c r="BK59" s="53">
        <f>BB97/1000</f>
        <v>355.57891908509981</v>
      </c>
      <c r="BL59" s="54">
        <f>BC97/1000</f>
        <v>7.7519015376476777E-2</v>
      </c>
      <c r="BM59" s="51">
        <f>BB98/1000</f>
        <v>355.57891908509981</v>
      </c>
      <c r="BN59" s="54">
        <f>BC98/1000</f>
        <v>7.7519015376476777E-2</v>
      </c>
      <c r="BO59" s="6"/>
    </row>
    <row r="60" spans="1:73">
      <c r="A60" s="699"/>
      <c r="B60" s="23" t="s">
        <v>4</v>
      </c>
      <c r="C60" s="17" t="s">
        <v>19</v>
      </c>
      <c r="D60" s="57"/>
      <c r="E60" s="2"/>
      <c r="F60" s="2"/>
      <c r="G60" s="63"/>
      <c r="H60" s="2"/>
      <c r="I60" s="20"/>
      <c r="J60" s="21">
        <f>(E97-J93)*'[2]C&amp;I composn'!$D$11</f>
        <v>25679.0166608865</v>
      </c>
      <c r="K60" s="21"/>
      <c r="L60" s="22"/>
      <c r="M60" s="2"/>
      <c r="N60" s="23"/>
      <c r="O60" s="19"/>
      <c r="P60" s="19"/>
      <c r="Q60" s="19"/>
      <c r="R60" s="305"/>
      <c r="T60" s="57"/>
      <c r="U60" s="2"/>
      <c r="V60" s="2"/>
      <c r="W60" s="199"/>
      <c r="X60" s="198"/>
      <c r="Y60" s="198"/>
      <c r="Z60" s="198"/>
      <c r="AA60" s="274"/>
      <c r="AB60" s="21"/>
      <c r="AC60" s="21"/>
      <c r="AD60" s="21"/>
      <c r="AE60" s="21"/>
      <c r="AF60" s="355"/>
      <c r="AG60" s="20"/>
      <c r="AH60" s="21"/>
      <c r="AI60" s="21"/>
      <c r="AJ60" s="22"/>
      <c r="AK60" s="29"/>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19">SUM(BH58:BH59)/BH61</f>
        <v>0.47633630505164271</v>
      </c>
      <c r="BI60" s="86">
        <f t="shared" si="19"/>
        <v>0.51885741195906943</v>
      </c>
      <c r="BJ60" s="86">
        <f>SUM(BJ58:BJ59)/BJ61</f>
        <v>0.59442141793025982</v>
      </c>
      <c r="BK60" s="87">
        <f t="shared" si="19"/>
        <v>0.5233196131937794</v>
      </c>
      <c r="BL60" s="87">
        <f t="shared" si="19"/>
        <v>0.52266702579354207</v>
      </c>
      <c r="BM60" s="88">
        <f t="shared" si="19"/>
        <v>0.36019948021176906</v>
      </c>
      <c r="BN60" s="87">
        <f t="shared" si="19"/>
        <v>0.35970285053154422</v>
      </c>
    </row>
    <row r="61" spans="1:73">
      <c r="A61" s="699"/>
      <c r="B61" s="23"/>
      <c r="C61" s="17" t="s">
        <v>20</v>
      </c>
      <c r="D61" s="57"/>
      <c r="E61" s="2"/>
      <c r="F61" s="2"/>
      <c r="G61" s="63"/>
      <c r="H61" s="2"/>
      <c r="I61" s="20"/>
      <c r="J61" s="21">
        <f>(E97-J93)*'[2]C&amp;I composn'!$D$12</f>
        <v>3336.6795736198023</v>
      </c>
      <c r="K61" s="21"/>
      <c r="L61" s="22"/>
      <c r="M61" s="2"/>
      <c r="N61" s="23"/>
      <c r="O61" s="19"/>
      <c r="P61" s="19"/>
      <c r="Q61" s="19"/>
      <c r="R61" s="305"/>
      <c r="T61" s="57"/>
      <c r="U61" s="2"/>
      <c r="V61" s="2"/>
      <c r="W61" s="199"/>
      <c r="X61" s="198"/>
      <c r="Y61" s="198"/>
      <c r="Z61" s="198"/>
      <c r="AA61" s="274"/>
      <c r="AB61" s="21"/>
      <c r="AC61" s="21"/>
      <c r="AD61" s="21"/>
      <c r="AE61" s="21"/>
      <c r="AF61" s="355"/>
      <c r="AG61" s="20"/>
      <c r="AH61" s="21"/>
      <c r="AI61" s="21"/>
      <c r="AJ61" s="22"/>
      <c r="AK61" s="29"/>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20">SUM(BH57:BH59)</f>
        <v>3059.243439404197</v>
      </c>
      <c r="BI61" s="52">
        <f t="shared" si="20"/>
        <v>2284.1918014111429</v>
      </c>
      <c r="BJ61" s="52">
        <f t="shared" si="20"/>
        <v>2164.8662961846603</v>
      </c>
      <c r="BK61" s="74">
        <f t="shared" si="20"/>
        <v>7508.3015370000003</v>
      </c>
      <c r="BL61" s="76">
        <f t="shared" si="20"/>
        <v>1.6832232281428705</v>
      </c>
      <c r="BM61" s="81">
        <f t="shared" si="20"/>
        <v>13234.509537</v>
      </c>
      <c r="BN61" s="76">
        <f t="shared" si="20"/>
        <v>2.9686912659705351</v>
      </c>
    </row>
    <row r="62" spans="1:73">
      <c r="A62" s="699"/>
      <c r="B62" s="23"/>
      <c r="C62" s="17" t="s">
        <v>21</v>
      </c>
      <c r="D62" s="57"/>
      <c r="E62" s="2"/>
      <c r="F62" s="2"/>
      <c r="G62" s="63"/>
      <c r="H62" s="2"/>
      <c r="I62" s="20"/>
      <c r="J62" s="21">
        <f>(E97-J93)*'[2]C&amp;I composn'!$D$13</f>
        <v>5.6359263199397107</v>
      </c>
      <c r="K62" s="21"/>
      <c r="L62" s="22"/>
      <c r="M62" s="2"/>
      <c r="N62" s="23"/>
      <c r="O62" s="19"/>
      <c r="P62" s="19"/>
      <c r="Q62" s="19"/>
      <c r="R62" s="305"/>
      <c r="T62" s="57"/>
      <c r="U62" s="2"/>
      <c r="V62" s="2"/>
      <c r="W62" s="199"/>
      <c r="X62" s="198"/>
      <c r="Y62" s="198"/>
      <c r="Z62" s="198"/>
      <c r="AA62" s="274"/>
      <c r="AB62" s="21"/>
      <c r="AC62" s="21"/>
      <c r="AD62" s="21"/>
      <c r="AE62" s="21"/>
      <c r="AF62" s="355"/>
      <c r="AG62" s="20"/>
      <c r="AH62" s="21"/>
      <c r="AI62" s="21"/>
      <c r="AJ62" s="22"/>
      <c r="AK62" s="29"/>
      <c r="AL62" s="19"/>
      <c r="AM62" s="57"/>
      <c r="AN62" s="2"/>
      <c r="AO62" s="2"/>
      <c r="AP62" s="63"/>
      <c r="AQ62" s="68"/>
      <c r="AR62" s="21"/>
      <c r="AS62" s="21"/>
      <c r="AT62" s="21"/>
      <c r="AU62" s="25"/>
      <c r="AV62" s="21"/>
      <c r="AW62" s="22"/>
      <c r="AX62" s="2"/>
      <c r="AY62" s="23"/>
      <c r="AZ62" s="19"/>
      <c r="BA62" s="19"/>
      <c r="BB62" s="19"/>
      <c r="BC62" s="24"/>
      <c r="BD62" s="30"/>
    </row>
    <row r="63" spans="1:73" s="106" customFormat="1">
      <c r="A63" s="699"/>
      <c r="B63" s="107" t="s">
        <v>67</v>
      </c>
      <c r="C63" s="108"/>
      <c r="D63" s="109"/>
      <c r="E63" s="110"/>
      <c r="F63" s="110"/>
      <c r="G63" s="63"/>
      <c r="H63" s="110"/>
      <c r="I63" s="112">
        <f>D97*'[2]Lfill en &amp; composn'!B$134</f>
        <v>59346.044850040809</v>
      </c>
      <c r="J63" s="113">
        <f>SUM(J60:J62)</f>
        <v>29021.332160826245</v>
      </c>
      <c r="K63" s="113">
        <f>(F97-K93)*'[2]Lfill en &amp; composn'!C$145</f>
        <v>30843.95166785696</v>
      </c>
      <c r="L63" s="114">
        <f>SUM(I63:K63)</f>
        <v>119211.32867872402</v>
      </c>
      <c r="M63" s="110"/>
      <c r="N63" s="112">
        <f>I63</f>
        <v>59346.044850040809</v>
      </c>
      <c r="O63" s="113">
        <f t="shared" ref="O63" si="21">J63</f>
        <v>29021.332160826245</v>
      </c>
      <c r="P63" s="113">
        <f t="shared" ref="P63" si="22">K63</f>
        <v>30843.95166785696</v>
      </c>
      <c r="Q63" s="114">
        <f>SUM(N63:P63)</f>
        <v>119211.32867872402</v>
      </c>
      <c r="R63" s="118">
        <f>Q63/[2]Popn!$E$43*1000</f>
        <v>26.761576380646353</v>
      </c>
      <c r="T63" s="109"/>
      <c r="U63" s="110"/>
      <c r="V63" s="110"/>
      <c r="W63" s="203"/>
      <c r="X63" s="130"/>
      <c r="Y63" s="130"/>
      <c r="Z63" s="130"/>
      <c r="AA63" s="276"/>
      <c r="AB63" s="113"/>
      <c r="AC63" s="113"/>
      <c r="AD63" s="113"/>
      <c r="AE63" s="113">
        <f>SUM(T97:V97)*[2]QLD!$E$102</f>
        <v>730280.14081611682</v>
      </c>
      <c r="AF63" s="567"/>
      <c r="AG63" s="112"/>
      <c r="AH63" s="113"/>
      <c r="AI63" s="113"/>
      <c r="AJ63" s="114">
        <f>AE63</f>
        <v>730280.14081611682</v>
      </c>
      <c r="AK63" s="115">
        <f>AJ63/[2]Popn!$E$43*1000</f>
        <v>163.93951803347076</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427" t="s">
        <v>137</v>
      </c>
      <c r="BK63" s="428" t="str">
        <f>IF(SUM(BH61:BJ61)=BK61,"OK","Problem")</f>
        <v>OK</v>
      </c>
      <c r="BL63" s="6"/>
      <c r="BM63" s="6"/>
      <c r="BN63" s="6"/>
      <c r="BO63" s="6"/>
    </row>
    <row r="64" spans="1:73">
      <c r="A64" s="699"/>
      <c r="B64" s="23" t="s">
        <v>2</v>
      </c>
      <c r="C64" s="17" t="s">
        <v>22</v>
      </c>
      <c r="D64" s="57"/>
      <c r="E64" s="2"/>
      <c r="F64" s="2"/>
      <c r="G64" s="63"/>
      <c r="H64" s="2"/>
      <c r="I64" s="20"/>
      <c r="J64" s="21">
        <f>(E97-J93)*'[2]C&amp;I composn'!$D$14</f>
        <v>242256.43458877638</v>
      </c>
      <c r="K64" s="21"/>
      <c r="L64" s="22"/>
      <c r="M64" s="2"/>
      <c r="N64" s="20"/>
      <c r="O64" s="21"/>
      <c r="P64" s="21"/>
      <c r="Q64" s="21"/>
      <c r="R64" s="29"/>
      <c r="T64" s="57"/>
      <c r="U64" s="2"/>
      <c r="V64" s="2"/>
      <c r="W64" s="199"/>
      <c r="X64" s="198"/>
      <c r="Y64" s="198"/>
      <c r="Z64" s="198"/>
      <c r="AA64" s="274"/>
      <c r="AB64" s="21"/>
      <c r="AC64" s="21"/>
      <c r="AD64" s="21"/>
      <c r="AE64" s="21"/>
      <c r="AF64" s="355"/>
      <c r="AG64" s="20"/>
      <c r="AH64" s="21"/>
      <c r="AI64" s="21"/>
      <c r="AJ64" s="22"/>
      <c r="AK64" s="29"/>
      <c r="AL64" s="19"/>
      <c r="AM64" s="57"/>
      <c r="AN64" s="2"/>
      <c r="AO64" s="2"/>
      <c r="AP64" s="63"/>
      <c r="AQ64" s="70"/>
      <c r="AR64" s="21">
        <f>L69*'[2]Lfill en &amp; composn'!$E$82/SUM('[2]Lfill en &amp; composn'!$E$82,'[2]Lfill en &amp; composn'!$E$84:$E$85,'[2]Lfill en &amp; composn'!$E$87:$E$88)*'[2]Lfill en &amp; composn'!$D$16</f>
        <v>98151.013711472042</v>
      </c>
      <c r="AS64" s="35">
        <f>AR64/SUM($AR$54:$AR$96)</f>
        <v>0.36706501449622286</v>
      </c>
      <c r="AT64" s="21">
        <f>AS64*'[2]Lfill en &amp; composn'!$E$64/'[2]Lfill en &amp; composn'!$B$16</f>
        <v>86789.742260962114</v>
      </c>
      <c r="AU64" s="25"/>
      <c r="AV64" s="21"/>
      <c r="AW64" s="22"/>
      <c r="AX64" s="82"/>
      <c r="AY64" s="20"/>
      <c r="AZ64" s="21"/>
      <c r="BA64" s="21"/>
      <c r="BB64" s="21"/>
      <c r="BC64" s="29"/>
      <c r="BD64" s="30"/>
      <c r="BJ64" s="427" t="s">
        <v>138</v>
      </c>
      <c r="BK64" s="428" t="str">
        <f>IF(SUM(BH58:BJ58)=BK58,"OK","Problem")</f>
        <v>OK</v>
      </c>
    </row>
    <row r="65" spans="1:67">
      <c r="A65" s="699"/>
      <c r="B65" s="23"/>
      <c r="C65" s="17" t="s">
        <v>23</v>
      </c>
      <c r="D65" s="57"/>
      <c r="E65" s="2"/>
      <c r="F65" s="2"/>
      <c r="G65" s="63"/>
      <c r="H65" s="2"/>
      <c r="I65" s="20"/>
      <c r="J65" s="21">
        <f>(E97-J93)*'[2]C&amp;I composn'!$D$15</f>
        <v>8977.5202482523164</v>
      </c>
      <c r="K65" s="21"/>
      <c r="L65" s="22"/>
      <c r="M65" s="2"/>
      <c r="N65" s="20"/>
      <c r="O65" s="21"/>
      <c r="P65" s="21"/>
      <c r="Q65" s="21"/>
      <c r="R65" s="29"/>
      <c r="T65" s="201">
        <f>[2]QLD!$J$16</f>
        <v>818968</v>
      </c>
      <c r="U65" s="2"/>
      <c r="V65" s="2"/>
      <c r="W65" s="199"/>
      <c r="X65" s="198"/>
      <c r="Y65" s="198"/>
      <c r="Z65" s="198"/>
      <c r="AA65" s="274"/>
      <c r="AB65" s="21"/>
      <c r="AC65" s="21"/>
      <c r="AD65" s="21"/>
      <c r="AE65" s="21"/>
      <c r="AF65" s="355"/>
      <c r="AG65" s="20">
        <f>T65</f>
        <v>818968</v>
      </c>
      <c r="AH65" s="21"/>
      <c r="AI65" s="21"/>
      <c r="AJ65" s="22">
        <f>AG65</f>
        <v>818968</v>
      </c>
      <c r="AK65" s="29">
        <f>AJ65/[2]Popn!$E$43*1000</f>
        <v>183.84892550246985</v>
      </c>
      <c r="AL65" s="19"/>
      <c r="AM65" s="57"/>
      <c r="AN65" s="2"/>
      <c r="AO65" s="2"/>
      <c r="AP65" s="63"/>
      <c r="AQ65" s="70">
        <f>[2]Bioenergy!$F$88</f>
        <v>139000</v>
      </c>
      <c r="AR65" s="21">
        <f>L69*'[2]Lfill en &amp; composn'!$E$84/SUM('[2]Lfill en &amp; composn'!$E$82,'[2]Lfill en &amp; composn'!$E$84:$E$85,'[2]Lfill en &amp; composn'!$E$87:$E$88)*'[2]Lfill en &amp; composn'!$D$18</f>
        <v>34523.832764154475</v>
      </c>
      <c r="AS65" s="35">
        <f>AR65/SUM($AR$54:$AR$96)</f>
        <v>0.12911217821236171</v>
      </c>
      <c r="AT65" s="21">
        <f>AS65*'[2]Lfill en &amp; composn'!$E$64/'[2]Lfill en &amp; composn'!$B$18</f>
        <v>22895.69741176788</v>
      </c>
      <c r="AU65" s="25"/>
      <c r="AV65" s="21"/>
      <c r="AW65" s="22"/>
      <c r="AX65" s="2"/>
      <c r="AY65" s="20">
        <f>AQ65</f>
        <v>139000</v>
      </c>
      <c r="AZ65" s="21"/>
      <c r="BA65" s="21"/>
      <c r="BB65" s="21"/>
      <c r="BC65" s="29"/>
      <c r="BD65" s="36"/>
    </row>
    <row r="66" spans="1:67">
      <c r="A66" s="699"/>
      <c r="B66" s="23"/>
      <c r="C66" s="17" t="s">
        <v>24</v>
      </c>
      <c r="D66" s="57"/>
      <c r="E66" s="2"/>
      <c r="F66" s="2"/>
      <c r="G66" s="63"/>
      <c r="H66" s="2"/>
      <c r="I66" s="20"/>
      <c r="J66" s="21">
        <f>(E97-J93)*'[2]C&amp;I composn'!$D$16</f>
        <v>80455.623552937905</v>
      </c>
      <c r="K66" s="21"/>
      <c r="L66" s="22"/>
      <c r="M66" s="2"/>
      <c r="N66" s="20"/>
      <c r="O66" s="21"/>
      <c r="P66" s="21"/>
      <c r="Q66" s="21"/>
      <c r="R66" s="29"/>
      <c r="T66" s="57"/>
      <c r="U66" s="2"/>
      <c r="V66" s="2"/>
      <c r="W66" s="199"/>
      <c r="X66" s="198"/>
      <c r="Y66" s="198"/>
      <c r="Z66" s="198"/>
      <c r="AA66" s="274"/>
      <c r="AB66" s="21"/>
      <c r="AC66" s="21"/>
      <c r="AD66" s="21"/>
      <c r="AE66" s="21"/>
      <c r="AF66" s="355"/>
      <c r="AG66" s="20"/>
      <c r="AH66" s="21"/>
      <c r="AI66" s="21"/>
      <c r="AJ66" s="22"/>
      <c r="AK66" s="29"/>
      <c r="AL66" s="19"/>
      <c r="AM66" s="57"/>
      <c r="AN66" s="2"/>
      <c r="AO66" s="2"/>
      <c r="AP66" s="63"/>
      <c r="AQ66" s="70">
        <f>[2]Bioenergy!$F$110</f>
        <v>49000</v>
      </c>
      <c r="AR66" s="21">
        <f>L69*'[2]Lfill en &amp; composn'!$E$85/SUM('[2]Lfill en &amp; composn'!$E$82,'[2]Lfill en &amp; composn'!$E$84:$E$85,'[2]Lfill en &amp; composn'!$E$87:$E$88)*'[2]Lfill en &amp; composn'!$D$19</f>
        <v>20305.315535018824</v>
      </c>
      <c r="AS66" s="35">
        <f>AR66/SUM($AR$54:$AR$96)</f>
        <v>7.5937788713239779E-2</v>
      </c>
      <c r="AT66" s="21">
        <f>AS66*'[2]Lfill en &amp; composn'!$E$64/'[2]Lfill en &amp; composn'!$B$19</f>
        <v>6263.3424186113316</v>
      </c>
      <c r="AU66" s="25"/>
      <c r="AV66" s="21"/>
      <c r="AW66" s="22"/>
      <c r="AX66" s="2"/>
      <c r="AY66" s="20"/>
      <c r="AZ66" s="21">
        <f>AQ66</f>
        <v>49000</v>
      </c>
      <c r="BA66" s="21"/>
      <c r="BB66" s="21"/>
      <c r="BC66" s="29"/>
    </row>
    <row r="67" spans="1:67">
      <c r="A67" s="699"/>
      <c r="B67" s="23"/>
      <c r="C67" s="17" t="s">
        <v>25</v>
      </c>
      <c r="D67" s="57"/>
      <c r="E67" s="2"/>
      <c r="F67" s="2"/>
      <c r="G67" s="63"/>
      <c r="H67" s="2"/>
      <c r="I67" s="20"/>
      <c r="J67" s="21">
        <f>(E97-J93)*'[2]C&amp;I composn'!$D$17</f>
        <v>71042.861916545065</v>
      </c>
      <c r="K67" s="21"/>
      <c r="L67" s="22"/>
      <c r="M67" s="2"/>
      <c r="N67" s="20"/>
      <c r="O67" s="21"/>
      <c r="P67" s="21"/>
      <c r="Q67" s="21"/>
      <c r="R67" s="29"/>
      <c r="T67" s="57"/>
      <c r="U67" s="2"/>
      <c r="V67" s="2"/>
      <c r="W67" s="199"/>
      <c r="X67" s="198"/>
      <c r="Y67" s="198"/>
      <c r="Z67" s="198"/>
      <c r="AA67" s="274"/>
      <c r="AB67" s="21"/>
      <c r="AC67" s="21"/>
      <c r="AD67" s="21"/>
      <c r="AE67" s="21"/>
      <c r="AF67" s="355"/>
      <c r="AG67" s="20"/>
      <c r="AH67" s="21"/>
      <c r="AI67" s="21"/>
      <c r="AJ67" s="22"/>
      <c r="AK67" s="29"/>
      <c r="AL67" s="19"/>
      <c r="AM67" s="57"/>
      <c r="AN67" s="2"/>
      <c r="AO67" s="2"/>
      <c r="AP67" s="63"/>
      <c r="AQ67" s="68"/>
      <c r="AR67" s="21">
        <f>L69*'[2]Lfill en &amp; composn'!$E$93/SUM('[2]Lfill en &amp; composn'!$E$82,'[2]Lfill en &amp; composn'!$E$84:$E$85,'[2]Lfill en &amp; composn'!$E$87:$E$88)*'[2]Lfill en &amp; composn'!$D$24</f>
        <v>8902.5862776845388</v>
      </c>
      <c r="AS67" s="35">
        <f>AR67/SUM($AR$54:$AR$96)</f>
        <v>3.3293878865870555E-2</v>
      </c>
      <c r="AT67" s="21">
        <f>AS67*'[2]Lfill en &amp; composn'!$E$64/'[2]Lfill en &amp; composn'!$B$24</f>
        <v>4920.0534161543146</v>
      </c>
      <c r="AU67" s="25"/>
      <c r="AV67" s="21"/>
      <c r="AW67" s="22"/>
      <c r="AX67" s="83"/>
      <c r="AY67" s="20"/>
      <c r="AZ67" s="21"/>
      <c r="BA67" s="21"/>
      <c r="BB67" s="21"/>
      <c r="BC67" s="29"/>
    </row>
    <row r="68" spans="1:67">
      <c r="A68" s="699"/>
      <c r="B68" s="23"/>
      <c r="C68" s="17" t="s">
        <v>0</v>
      </c>
      <c r="D68" s="57"/>
      <c r="E68" s="2"/>
      <c r="F68" s="2"/>
      <c r="G68" s="199">
        <f>[2]QLD!$E$22</f>
        <v>44543</v>
      </c>
      <c r="H68" s="198"/>
      <c r="I68" s="306">
        <f>G68</f>
        <v>44543</v>
      </c>
      <c r="J68" s="113"/>
      <c r="K68" s="21"/>
      <c r="L68" s="22"/>
      <c r="M68" s="68" t="s">
        <v>193</v>
      </c>
      <c r="N68" s="20"/>
      <c r="O68" s="19"/>
      <c r="P68" s="19"/>
      <c r="Q68" s="19"/>
      <c r="R68" s="29"/>
      <c r="T68" s="57"/>
      <c r="U68" s="2"/>
      <c r="V68" s="2"/>
      <c r="W68" s="199"/>
      <c r="X68" s="198"/>
      <c r="Y68" s="198"/>
      <c r="Z68" s="198"/>
      <c r="AA68" s="278">
        <f>[2]Biosolids!$E$191</f>
        <v>271084</v>
      </c>
      <c r="AB68" s="21"/>
      <c r="AC68" s="21"/>
      <c r="AD68" s="21"/>
      <c r="AE68" s="21"/>
      <c r="AF68" s="570" t="s">
        <v>193</v>
      </c>
      <c r="AG68" s="20">
        <f>AA68</f>
        <v>271084</v>
      </c>
      <c r="AH68" s="21"/>
      <c r="AI68" s="21"/>
      <c r="AJ68" s="22">
        <f>AG68</f>
        <v>271084</v>
      </c>
      <c r="AK68" s="29">
        <f>AJ68/[2]Popn!$E$43*1000</f>
        <v>60.855249681198224</v>
      </c>
      <c r="AL68" s="19"/>
      <c r="AM68" s="57"/>
      <c r="AN68" s="2"/>
      <c r="AO68" s="2"/>
      <c r="AP68" s="63"/>
      <c r="AQ68" s="68"/>
      <c r="AR68" s="21">
        <f>L69*'[2]Lfill en &amp; composn'!$E$87/SUM('[2]Lfill en &amp; composn'!$E$82,'[2]Lfill en &amp; composn'!$E$84:$E$85,'[2]Lfill en &amp; composn'!$E$87:$E$88)*'[2]Lfill en &amp; composn'!$D$21</f>
        <v>226.44659863296434</v>
      </c>
      <c r="AS68" s="35">
        <f>AR68/SUM($AR$54:$AR$96)</f>
        <v>8.46864651384789E-4</v>
      </c>
      <c r="AT68" s="21">
        <f>AS68*'[2]Lfill en &amp; composn'!$E$64/'[2]Lfill en &amp; composn'!$B$21</f>
        <v>600.70419615837568</v>
      </c>
      <c r="AU68" s="25"/>
      <c r="AV68" s="21"/>
      <c r="AW68" s="22"/>
      <c r="AX68" s="2"/>
      <c r="AY68" s="23"/>
      <c r="AZ68" s="19"/>
      <c r="BA68" s="19"/>
      <c r="BB68" s="21"/>
      <c r="BC68" s="24"/>
    </row>
    <row r="69" spans="1:67" s="106" customFormat="1">
      <c r="A69" s="699"/>
      <c r="B69" s="107" t="s">
        <v>67</v>
      </c>
      <c r="C69" s="108"/>
      <c r="D69" s="109"/>
      <c r="E69" s="110"/>
      <c r="F69" s="110"/>
      <c r="G69" s="63"/>
      <c r="H69" s="110"/>
      <c r="I69" s="112">
        <f>D97*'[2]Lfill en &amp; composn'!B$135</f>
        <v>960806.79500000004</v>
      </c>
      <c r="J69" s="113">
        <f>SUM(J64:J68)</f>
        <v>402732.44030651171</v>
      </c>
      <c r="K69" s="113">
        <f>(F97-K93)*'[2]Lfill en &amp; composn'!C$146</f>
        <v>71269.54631740402</v>
      </c>
      <c r="L69" s="114">
        <f>SUM(I69:K69)</f>
        <v>1434808.7816239158</v>
      </c>
      <c r="M69" s="110"/>
      <c r="N69" s="112">
        <f>I69-AU69</f>
        <v>879465.81031442946</v>
      </c>
      <c r="O69" s="113">
        <f t="shared" ref="O69" si="23">J69-AV69</f>
        <v>368637.49694242526</v>
      </c>
      <c r="P69" s="113">
        <f t="shared" ref="P69" si="24">K69-AW69</f>
        <v>65235.934663407003</v>
      </c>
      <c r="Q69" s="114">
        <f>SUM(N69:P69)</f>
        <v>1313339.2419202616</v>
      </c>
      <c r="R69" s="118">
        <f>Q69/[2]Popn!$E$43*1000</f>
        <v>294.82960072587503</v>
      </c>
      <c r="T69" s="109"/>
      <c r="U69" s="110"/>
      <c r="V69" s="110"/>
      <c r="W69" s="203"/>
      <c r="X69" s="130"/>
      <c r="Y69" s="130"/>
      <c r="Z69" s="130"/>
      <c r="AA69" s="285">
        <f>-SUM([2]ROU!$N$20:$N$29)</f>
        <v>-216490</v>
      </c>
      <c r="AB69" s="113"/>
      <c r="AC69" s="113"/>
      <c r="AD69" s="113"/>
      <c r="AE69" s="113">
        <f>SUM(T97:V97)*[2]QLD!$E$103</f>
        <v>1318666.4718881692</v>
      </c>
      <c r="AF69" s="554" t="s">
        <v>198</v>
      </c>
      <c r="AG69" s="112"/>
      <c r="AH69" s="113"/>
      <c r="AI69" s="113"/>
      <c r="AJ69" s="114">
        <f>SUM(AA69:AE69)</f>
        <v>1102176.4718881692</v>
      </c>
      <c r="AK69" s="115">
        <f>AJ69/[2]Popn!$E$43*1000</f>
        <v>247.42598010025191</v>
      </c>
      <c r="AL69" s="119"/>
      <c r="AM69" s="109"/>
      <c r="AN69" s="110"/>
      <c r="AO69" s="110"/>
      <c r="AP69" s="111"/>
      <c r="AQ69" s="116"/>
      <c r="AR69" s="113"/>
      <c r="AS69" s="113"/>
      <c r="AT69" s="113">
        <f>SUM(AT64:AT68)</f>
        <v>121469.53970365401</v>
      </c>
      <c r="AU69" s="120">
        <f>$AT69*I69/SUM($I69:$K69)</f>
        <v>81340.98468557054</v>
      </c>
      <c r="AV69" s="113">
        <f>$AT69*J69/SUM($I69:$K69)</f>
        <v>34094.943364086452</v>
      </c>
      <c r="AW69" s="114">
        <f>$AT69*K69/SUM($I69:$K69)</f>
        <v>6033.6116539970153</v>
      </c>
      <c r="AX69" s="110"/>
      <c r="AY69" s="241">
        <f>AU69+AY65</f>
        <v>220340.98468557053</v>
      </c>
      <c r="AZ69" s="242">
        <f>AV69+AZ66</f>
        <v>83094.943364086444</v>
      </c>
      <c r="BA69" s="242">
        <f>AW69</f>
        <v>6033.6116539970153</v>
      </c>
      <c r="BB69" s="243">
        <f>SUM(AY69:BA69)</f>
        <v>309469.53970365401</v>
      </c>
      <c r="BC69" s="118">
        <f>BB69/[2]Popn!$E$43*1000</f>
        <v>69.472363206206751</v>
      </c>
      <c r="BD69" s="122"/>
      <c r="BG69" s="146"/>
      <c r="BH69" s="138" t="s">
        <v>72</v>
      </c>
      <c r="BI69" s="138" t="s">
        <v>68</v>
      </c>
      <c r="BJ69" s="138" t="s">
        <v>69</v>
      </c>
      <c r="BK69" s="138" t="s">
        <v>73</v>
      </c>
      <c r="BL69" s="138" t="s">
        <v>78</v>
      </c>
      <c r="BM69" s="6"/>
      <c r="BN69" s="6"/>
      <c r="BO69" s="6"/>
    </row>
    <row r="70" spans="1:67">
      <c r="A70" s="699"/>
      <c r="B70" s="23" t="s">
        <v>5</v>
      </c>
      <c r="C70" s="17" t="s">
        <v>26</v>
      </c>
      <c r="D70" s="57"/>
      <c r="E70" s="2"/>
      <c r="F70" s="2"/>
      <c r="G70" s="63"/>
      <c r="H70" s="2"/>
      <c r="I70" s="20"/>
      <c r="J70" s="21">
        <f>(E97-J93)*'[2]C&amp;I composn'!$D$18</f>
        <v>129810.27216573081</v>
      </c>
      <c r="K70" s="21"/>
      <c r="L70" s="22"/>
      <c r="M70" s="2"/>
      <c r="N70" s="23"/>
      <c r="O70" s="19"/>
      <c r="P70" s="19"/>
      <c r="Q70" s="19"/>
      <c r="R70" s="305"/>
      <c r="T70" s="57"/>
      <c r="U70" s="2"/>
      <c r="V70" s="2"/>
      <c r="W70" s="199"/>
      <c r="X70" s="198"/>
      <c r="Y70" s="198"/>
      <c r="Z70" s="198"/>
      <c r="AA70" s="274"/>
      <c r="AB70" s="21"/>
      <c r="AC70" s="21"/>
      <c r="AD70" s="21"/>
      <c r="AE70" s="21"/>
      <c r="AF70" s="355"/>
      <c r="AG70" s="20"/>
      <c r="AH70" s="21"/>
      <c r="AI70" s="21"/>
      <c r="AJ70" s="22"/>
      <c r="AK70" s="29"/>
      <c r="AL70" s="19"/>
      <c r="AM70" s="57"/>
      <c r="AN70" s="2"/>
      <c r="AO70" s="2"/>
      <c r="AP70" s="63"/>
      <c r="AQ70" s="68"/>
      <c r="AR70" s="21"/>
      <c r="AS70" s="21"/>
      <c r="AT70" s="21"/>
      <c r="AU70" s="240"/>
      <c r="AV70" s="19"/>
      <c r="AW70" s="195"/>
      <c r="AX70" s="2"/>
      <c r="AY70" s="238"/>
      <c r="BB70" s="19"/>
      <c r="BC70" s="24"/>
      <c r="BG70" s="147" t="s">
        <v>3</v>
      </c>
      <c r="BH70" s="52">
        <f>Q59/1000</f>
        <v>620.46061997297761</v>
      </c>
      <c r="BI70" s="52">
        <f>AJ59/1000</f>
        <v>931.95854239901325</v>
      </c>
      <c r="BJ70" s="52">
        <f>BB59/1000</f>
        <v>0</v>
      </c>
      <c r="BK70" s="137">
        <f>SUM(BI70:BJ70)/BL70</f>
        <v>0.60032661602491688</v>
      </c>
      <c r="BL70" s="52">
        <f>SUM(BH70:BJ70)</f>
        <v>1552.4191623719908</v>
      </c>
    </row>
    <row r="71" spans="1:67">
      <c r="A71" s="699"/>
      <c r="B71" s="23"/>
      <c r="C71" s="17" t="s">
        <v>27</v>
      </c>
      <c r="D71" s="57"/>
      <c r="E71" s="2"/>
      <c r="F71" s="2"/>
      <c r="G71" s="63"/>
      <c r="H71" s="2"/>
      <c r="I71" s="20"/>
      <c r="J71" s="725">
        <f>(E97-J93)*'[2]C&amp;I composn'!$D$20</f>
        <v>42675.619182377726</v>
      </c>
      <c r="K71" s="21"/>
      <c r="L71" s="22"/>
      <c r="M71" s="2"/>
      <c r="N71" s="23"/>
      <c r="O71" s="19"/>
      <c r="P71" s="19"/>
      <c r="Q71" s="19"/>
      <c r="R71" s="305"/>
      <c r="T71" s="57"/>
      <c r="U71" s="2"/>
      <c r="V71" s="2"/>
      <c r="W71" s="199"/>
      <c r="X71" s="198"/>
      <c r="Y71" s="198"/>
      <c r="Z71" s="198"/>
      <c r="AA71" s="274"/>
      <c r="AB71" s="21"/>
      <c r="AC71" s="21"/>
      <c r="AD71" s="21"/>
      <c r="AE71" s="21"/>
      <c r="AF71" s="355"/>
      <c r="AG71" s="20"/>
      <c r="AH71" s="21"/>
      <c r="AI71" s="21"/>
      <c r="AJ71" s="22"/>
      <c r="AK71" s="29"/>
      <c r="AL71" s="19"/>
      <c r="AM71" s="57"/>
      <c r="AN71" s="2"/>
      <c r="AO71" s="2"/>
      <c r="AP71" s="63"/>
      <c r="AQ71" s="68"/>
      <c r="AR71" s="21"/>
      <c r="AS71" s="21"/>
      <c r="AT71" s="21"/>
      <c r="AU71" s="240"/>
      <c r="AV71" s="19"/>
      <c r="AW71" s="195"/>
      <c r="AX71" s="2"/>
      <c r="AY71" s="238"/>
      <c r="BB71" s="19"/>
      <c r="BC71" s="24"/>
      <c r="BG71" s="147" t="s">
        <v>4</v>
      </c>
      <c r="BH71" s="52">
        <f>Q63/1000</f>
        <v>119.21132867872402</v>
      </c>
      <c r="BI71" s="52">
        <f>AJ63/1000</f>
        <v>730.28014081611684</v>
      </c>
      <c r="BJ71" s="52">
        <f>BB63/1000</f>
        <v>0</v>
      </c>
      <c r="BK71" s="137">
        <f t="shared" ref="BK71:BK78" si="25">SUM(BI71:BJ71)/BL71</f>
        <v>0.85966742108709537</v>
      </c>
      <c r="BL71" s="52">
        <f t="shared" ref="BL71:BL78" si="26">SUM(BH71:BJ71)</f>
        <v>849.49146949484089</v>
      </c>
    </row>
    <row r="72" spans="1:67">
      <c r="A72" s="699"/>
      <c r="B72" s="23"/>
      <c r="C72" s="17" t="s">
        <v>28</v>
      </c>
      <c r="D72" s="57"/>
      <c r="E72" s="2"/>
      <c r="F72" s="2"/>
      <c r="G72" s="63"/>
      <c r="H72" s="2"/>
      <c r="I72" s="20"/>
      <c r="J72" s="725"/>
      <c r="K72" s="21"/>
      <c r="L72" s="22"/>
      <c r="M72" s="2"/>
      <c r="N72" s="23"/>
      <c r="O72" s="19"/>
      <c r="P72" s="19"/>
      <c r="Q72" s="19"/>
      <c r="R72" s="305"/>
      <c r="T72" s="57"/>
      <c r="U72" s="2"/>
      <c r="V72" s="2"/>
      <c r="W72" s="199"/>
      <c r="X72" s="198"/>
      <c r="Y72" s="198"/>
      <c r="Z72" s="198"/>
      <c r="AA72" s="274"/>
      <c r="AB72" s="21"/>
      <c r="AC72" s="21"/>
      <c r="AD72" s="21"/>
      <c r="AE72" s="21"/>
      <c r="AF72" s="355"/>
      <c r="AG72" s="20"/>
      <c r="AH72" s="21"/>
      <c r="AI72" s="21"/>
      <c r="AJ72" s="22"/>
      <c r="AK72" s="29"/>
      <c r="AL72" s="19"/>
      <c r="AM72" s="57"/>
      <c r="AN72" s="2"/>
      <c r="AO72" s="2"/>
      <c r="AP72" s="63"/>
      <c r="AQ72" s="68"/>
      <c r="AR72" s="21"/>
      <c r="AS72" s="21"/>
      <c r="AT72" s="21"/>
      <c r="AU72" s="240"/>
      <c r="AV72" s="19"/>
      <c r="AW72" s="195"/>
      <c r="AX72" s="2"/>
      <c r="AY72" s="238"/>
      <c r="BB72" s="19"/>
      <c r="BC72" s="24"/>
      <c r="BG72" s="147" t="s">
        <v>2</v>
      </c>
      <c r="BH72" s="52">
        <f>Q69/1000</f>
        <v>1313.3392419202617</v>
      </c>
      <c r="BI72" s="52">
        <f>AJ69/1000</f>
        <v>1102.1764718881691</v>
      </c>
      <c r="BJ72" s="52">
        <f>BB69/1000</f>
        <v>309.46953970365399</v>
      </c>
      <c r="BK72" s="137">
        <f t="shared" si="25"/>
        <v>0.51803803700311024</v>
      </c>
      <c r="BL72" s="52">
        <f t="shared" si="26"/>
        <v>2724.9852535120845</v>
      </c>
    </row>
    <row r="73" spans="1:67">
      <c r="A73" s="699"/>
      <c r="B73" s="23"/>
      <c r="C73" s="17" t="s">
        <v>29</v>
      </c>
      <c r="D73" s="57"/>
      <c r="E73" s="2"/>
      <c r="F73" s="2"/>
      <c r="G73" s="63"/>
      <c r="H73" s="2"/>
      <c r="I73" s="20"/>
      <c r="J73" s="21">
        <f>(E97-J93)*'[2]C&amp;I composn'!$D$19</f>
        <v>63703.115107766265</v>
      </c>
      <c r="K73" s="21"/>
      <c r="L73" s="22"/>
      <c r="M73" s="198"/>
      <c r="N73" s="23"/>
      <c r="O73" s="19"/>
      <c r="P73" s="19"/>
      <c r="Q73" s="19"/>
      <c r="R73" s="305"/>
      <c r="T73" s="57"/>
      <c r="U73" s="2"/>
      <c r="V73" s="2"/>
      <c r="W73" s="199"/>
      <c r="X73" s="198"/>
      <c r="Y73" s="198"/>
      <c r="Z73" s="198"/>
      <c r="AA73" s="274"/>
      <c r="AB73" s="21"/>
      <c r="AC73" s="21"/>
      <c r="AD73" s="21"/>
      <c r="AE73" s="21"/>
      <c r="AF73" s="355"/>
      <c r="AG73" s="20"/>
      <c r="AH73" s="21"/>
      <c r="AI73" s="21"/>
      <c r="AJ73" s="22"/>
      <c r="AK73" s="29"/>
      <c r="AL73" s="19"/>
      <c r="AM73" s="57"/>
      <c r="AN73" s="2"/>
      <c r="AO73" s="2"/>
      <c r="AP73" s="63"/>
      <c r="AQ73" s="68"/>
      <c r="AR73" s="21"/>
      <c r="AS73" s="21"/>
      <c r="AT73" s="21"/>
      <c r="AU73" s="240"/>
      <c r="AV73" s="19"/>
      <c r="AW73" s="195"/>
      <c r="AX73" s="2"/>
      <c r="AY73" s="238"/>
      <c r="BB73" s="19"/>
      <c r="BC73" s="24"/>
      <c r="BG73" s="147" t="s">
        <v>5</v>
      </c>
      <c r="BH73" s="52">
        <f>Q74/1000</f>
        <v>452.53040344423556</v>
      </c>
      <c r="BI73" s="52">
        <f>AJ74/1000</f>
        <v>570.60230691746324</v>
      </c>
      <c r="BJ73" s="52">
        <f>BB74/1000</f>
        <v>31.455272880665738</v>
      </c>
      <c r="BK73" s="137">
        <f t="shared" si="25"/>
        <v>0.57089364696446054</v>
      </c>
      <c r="BL73" s="52">
        <f t="shared" si="26"/>
        <v>1054.5879832423645</v>
      </c>
    </row>
    <row r="74" spans="1:67" s="106" customFormat="1">
      <c r="A74" s="699"/>
      <c r="B74" s="107" t="s">
        <v>67</v>
      </c>
      <c r="C74" s="108"/>
      <c r="D74" s="109"/>
      <c r="E74" s="110"/>
      <c r="F74" s="110"/>
      <c r="G74" s="63"/>
      <c r="H74" s="110"/>
      <c r="I74" s="112">
        <f>D97*'[2]Lfill en &amp; composn'!B$136</f>
        <v>221070.59</v>
      </c>
      <c r="J74" s="113">
        <f>SUM(J70:J73)</f>
        <v>236189.0064558748</v>
      </c>
      <c r="K74" s="113">
        <f>(F97-K93)*'[2]Lfill en &amp; composn'!C$147</f>
        <v>26726.079869026507</v>
      </c>
      <c r="L74" s="114">
        <f>SUM(I74:K74)</f>
        <v>483985.67632490129</v>
      </c>
      <c r="M74" s="110"/>
      <c r="N74" s="112">
        <f>I74-AU74</f>
        <v>206702.73558921856</v>
      </c>
      <c r="O74" s="113">
        <f t="shared" ref="O74" si="27">J74-AV74</f>
        <v>220838.57355484925</v>
      </c>
      <c r="P74" s="113">
        <f t="shared" ref="P74" si="28">K74-AW74</f>
        <v>24989.094300167755</v>
      </c>
      <c r="Q74" s="114">
        <f>SUM(N74:P74)</f>
        <v>452530.40344423556</v>
      </c>
      <c r="R74" s="118">
        <f>Q74/[2]Popn!$E$43*1000</f>
        <v>101.58788674334272</v>
      </c>
      <c r="T74" s="109"/>
      <c r="U74" s="110"/>
      <c r="V74" s="110"/>
      <c r="W74" s="203"/>
      <c r="X74" s="130"/>
      <c r="Y74" s="130"/>
      <c r="Z74" s="130"/>
      <c r="AA74" s="276"/>
      <c r="AB74" s="113"/>
      <c r="AC74" s="113"/>
      <c r="AD74" s="113"/>
      <c r="AE74" s="113">
        <f>SUM(T97:V97)*[2]QLD!$E$104</f>
        <v>570602.3069174632</v>
      </c>
      <c r="AF74" s="567"/>
      <c r="AG74" s="112"/>
      <c r="AH74" s="113"/>
      <c r="AI74" s="113"/>
      <c r="AJ74" s="114">
        <f>AE74</f>
        <v>570602.3069174632</v>
      </c>
      <c r="AK74" s="115">
        <f>AJ74/[2]Popn!$E$43*1000</f>
        <v>128.09367523029732</v>
      </c>
      <c r="AL74" s="119"/>
      <c r="AM74" s="109"/>
      <c r="AN74" s="110"/>
      <c r="AO74" s="110"/>
      <c r="AP74" s="111"/>
      <c r="AQ74" s="117"/>
      <c r="AR74" s="113">
        <f>L74*'[2]Lfill en &amp; composn'!$D$17</f>
        <v>94861.192559680654</v>
      </c>
      <c r="AS74" s="123">
        <f>AR74/SUM($AR$54:$AR$96)</f>
        <v>0.35476174626588014</v>
      </c>
      <c r="AT74" s="113">
        <f>AS74*'[2]Lfill en &amp; composn'!$E$64/'[2]Lfill en &amp; composn'!$B$17</f>
        <v>31455.272880665736</v>
      </c>
      <c r="AU74" s="120">
        <f>$AT74*I74/SUM($I74:$K74)</f>
        <v>14367.854410781445</v>
      </c>
      <c r="AV74" s="113">
        <f>$AT74*J74/SUM($I74:$K74)</f>
        <v>15350.432901025542</v>
      </c>
      <c r="AW74" s="114">
        <f>$AT74*K74/SUM($I74:$K74)</f>
        <v>1736.9855688587511</v>
      </c>
      <c r="AX74" s="110"/>
      <c r="AY74" s="241">
        <f>AU74</f>
        <v>14367.854410781445</v>
      </c>
      <c r="AZ74" s="242">
        <f>AV74</f>
        <v>15350.432901025542</v>
      </c>
      <c r="BA74" s="242">
        <f>AW74</f>
        <v>1736.9855688587511</v>
      </c>
      <c r="BB74" s="243">
        <f>SUM(AY74:BA74)</f>
        <v>31455.27288066574</v>
      </c>
      <c r="BC74" s="118">
        <f>BB74/[2]Popn!$E$43*1000</f>
        <v>7.0613480874678576</v>
      </c>
      <c r="BD74" s="122"/>
      <c r="BG74" s="147" t="s">
        <v>6</v>
      </c>
      <c r="BH74" s="52">
        <f>Q84/1000</f>
        <v>361.81072308323752</v>
      </c>
      <c r="BI74" s="52">
        <f>AJ84/1000</f>
        <v>29.566537000000004</v>
      </c>
      <c r="BJ74" s="52">
        <f>BB84/1000</f>
        <v>0</v>
      </c>
      <c r="BK74" s="137">
        <f t="shared" si="25"/>
        <v>7.554485151669732E-2</v>
      </c>
      <c r="BL74" s="52">
        <f t="shared" si="26"/>
        <v>391.3772600832375</v>
      </c>
      <c r="BM74" s="6"/>
      <c r="BN74" s="6"/>
      <c r="BO74" s="6"/>
    </row>
    <row r="75" spans="1:67">
      <c r="A75" s="699"/>
      <c r="B75" s="23" t="s">
        <v>6</v>
      </c>
      <c r="C75" s="17" t="s">
        <v>30</v>
      </c>
      <c r="D75" s="57"/>
      <c r="E75" s="2"/>
      <c r="F75" s="2"/>
      <c r="G75" s="63"/>
      <c r="H75" s="2"/>
      <c r="I75" s="20"/>
      <c r="J75" s="21"/>
      <c r="K75" s="21"/>
      <c r="L75" s="22"/>
      <c r="M75" s="2"/>
      <c r="N75" s="23"/>
      <c r="O75" s="19"/>
      <c r="P75" s="19"/>
      <c r="Q75" s="19"/>
      <c r="R75" s="305"/>
      <c r="T75" s="57"/>
      <c r="U75" s="2"/>
      <c r="V75" s="2"/>
      <c r="W75" s="199"/>
      <c r="X75" s="198"/>
      <c r="Y75" s="198"/>
      <c r="Z75" s="198"/>
      <c r="AA75" s="274"/>
      <c r="AB75" s="21"/>
      <c r="AC75" s="21"/>
      <c r="AD75" s="21"/>
      <c r="AE75" s="21"/>
      <c r="AF75" s="355"/>
      <c r="AG75" s="20"/>
      <c r="AH75" s="21"/>
      <c r="AI75" s="21"/>
      <c r="AJ75" s="22"/>
      <c r="AK75" s="29"/>
      <c r="AL75" s="19"/>
      <c r="AM75" s="57"/>
      <c r="AN75" s="2"/>
      <c r="AO75" s="2"/>
      <c r="AP75" s="63"/>
      <c r="AQ75" s="68"/>
      <c r="AR75" s="21"/>
      <c r="AS75" s="21"/>
      <c r="AT75" s="21"/>
      <c r="AU75" s="240"/>
      <c r="AV75" s="19"/>
      <c r="AW75" s="195"/>
      <c r="AX75" s="2"/>
      <c r="AY75" s="238"/>
      <c r="BB75" s="19"/>
      <c r="BC75" s="24"/>
      <c r="BG75" s="147" t="s">
        <v>8</v>
      </c>
      <c r="BH75" s="52">
        <f>Q85/1000</f>
        <v>96.324891399462658</v>
      </c>
      <c r="BI75" s="52">
        <f>AJ85/1000</f>
        <v>87.784970294994338</v>
      </c>
      <c r="BJ75" s="52">
        <f>BB85/1000</f>
        <v>0</v>
      </c>
      <c r="BK75" s="137">
        <f t="shared" si="25"/>
        <v>0.47680754027548811</v>
      </c>
      <c r="BL75" s="52">
        <f t="shared" si="26"/>
        <v>184.10986169445698</v>
      </c>
    </row>
    <row r="76" spans="1:67">
      <c r="A76" s="699"/>
      <c r="B76" s="23"/>
      <c r="C76" s="17" t="s">
        <v>31</v>
      </c>
      <c r="D76" s="57"/>
      <c r="E76" s="2"/>
      <c r="F76" s="2"/>
      <c r="G76" s="63"/>
      <c r="H76" s="2"/>
      <c r="I76" s="20"/>
      <c r="J76" s="21"/>
      <c r="K76" s="21"/>
      <c r="L76" s="22"/>
      <c r="M76" s="2"/>
      <c r="N76" s="23"/>
      <c r="O76" s="19"/>
      <c r="P76" s="19"/>
      <c r="Q76" s="19"/>
      <c r="R76" s="305"/>
      <c r="T76" s="57"/>
      <c r="U76" s="2"/>
      <c r="V76" s="2"/>
      <c r="W76" s="199"/>
      <c r="X76" s="198"/>
      <c r="Y76" s="198"/>
      <c r="Z76" s="198"/>
      <c r="AA76" s="274"/>
      <c r="AB76" s="21"/>
      <c r="AC76" s="21"/>
      <c r="AD76" s="21"/>
      <c r="AE76" s="21"/>
      <c r="AF76" s="355"/>
      <c r="AG76" s="20"/>
      <c r="AH76" s="21"/>
      <c r="AI76" s="21"/>
      <c r="AJ76" s="22"/>
      <c r="AK76" s="29"/>
      <c r="AL76" s="19"/>
      <c r="AM76" s="57"/>
      <c r="AN76" s="2"/>
      <c r="AO76" s="2"/>
      <c r="AP76" s="63"/>
      <c r="AQ76" s="68"/>
      <c r="AR76" s="21"/>
      <c r="AS76" s="21"/>
      <c r="AT76" s="21"/>
      <c r="AU76" s="240"/>
      <c r="AV76" s="19"/>
      <c r="AW76" s="195"/>
      <c r="AX76" s="2"/>
      <c r="AY76" s="238"/>
      <c r="BB76" s="19"/>
      <c r="BC76" s="24"/>
      <c r="BG76" s="147" t="s">
        <v>7</v>
      </c>
      <c r="BH76" s="52">
        <f>Q88/1000</f>
        <v>61.793100615179327</v>
      </c>
      <c r="BI76" s="52">
        <f>AJ88/1000</f>
        <v>42.000567684242981</v>
      </c>
      <c r="BJ76" s="52">
        <f>BB88/1000</f>
        <v>4.3891065007801116</v>
      </c>
      <c r="BK76" s="137">
        <f t="shared" si="25"/>
        <v>0.42880832249586825</v>
      </c>
      <c r="BL76" s="52">
        <f t="shared" si="26"/>
        <v>108.18277480020242</v>
      </c>
    </row>
    <row r="77" spans="1:67">
      <c r="A77" s="699"/>
      <c r="B77" s="23"/>
      <c r="C77" s="17" t="s">
        <v>32</v>
      </c>
      <c r="D77" s="57"/>
      <c r="E77" s="2"/>
      <c r="F77" s="2"/>
      <c r="G77" s="63"/>
      <c r="H77" s="2"/>
      <c r="I77" s="20"/>
      <c r="J77" s="21"/>
      <c r="K77" s="21"/>
      <c r="L77" s="22"/>
      <c r="M77" s="2"/>
      <c r="N77" s="23"/>
      <c r="O77" s="19"/>
      <c r="P77" s="19"/>
      <c r="Q77" s="19"/>
      <c r="R77" s="305"/>
      <c r="T77" s="57"/>
      <c r="U77" s="2"/>
      <c r="V77" s="2"/>
      <c r="W77" s="199"/>
      <c r="X77" s="198"/>
      <c r="Y77" s="198"/>
      <c r="Z77" s="198"/>
      <c r="AA77" s="274"/>
      <c r="AB77" s="21"/>
      <c r="AC77" s="21"/>
      <c r="AD77" s="21"/>
      <c r="AE77" s="21"/>
      <c r="AF77" s="355"/>
      <c r="AG77" s="20"/>
      <c r="AH77" s="21"/>
      <c r="AI77" s="21"/>
      <c r="AJ77" s="22"/>
      <c r="AK77" s="29"/>
      <c r="AL77" s="19"/>
      <c r="AM77" s="57"/>
      <c r="AN77" s="2"/>
      <c r="AO77" s="2"/>
      <c r="AP77" s="63"/>
      <c r="AQ77" s="68"/>
      <c r="AR77" s="21"/>
      <c r="AS77" s="21"/>
      <c r="AT77" s="21"/>
      <c r="AU77" s="240"/>
      <c r="AV77" s="19"/>
      <c r="AW77" s="195"/>
      <c r="AX77" s="2"/>
      <c r="AY77" s="238"/>
      <c r="BB77" s="19"/>
      <c r="BC77" s="24"/>
      <c r="BG77" s="147" t="s">
        <v>11</v>
      </c>
      <c r="BH77" s="52">
        <f>Q93/1000</f>
        <v>553.5897718008215</v>
      </c>
      <c r="BI77" s="52">
        <f>AJ93/1000</f>
        <v>79.293000000000006</v>
      </c>
      <c r="BJ77" s="52">
        <f>BB93/1000</f>
        <v>10.265000000000001</v>
      </c>
      <c r="BK77" s="137">
        <f t="shared" si="25"/>
        <v>0.13924949121604904</v>
      </c>
      <c r="BL77" s="52">
        <f t="shared" si="26"/>
        <v>643.14777180082149</v>
      </c>
    </row>
    <row r="78" spans="1:67" s="90" customFormat="1">
      <c r="A78" s="699"/>
      <c r="B78" s="91" t="s">
        <v>42</v>
      </c>
      <c r="C78" s="92"/>
      <c r="D78" s="93"/>
      <c r="E78" s="94"/>
      <c r="F78" s="94"/>
      <c r="G78" s="63"/>
      <c r="H78" s="94"/>
      <c r="I78" s="96"/>
      <c r="J78" s="97"/>
      <c r="K78" s="97"/>
      <c r="L78" s="98"/>
      <c r="M78" s="94"/>
      <c r="N78" s="96"/>
      <c r="O78" s="97"/>
      <c r="P78" s="97"/>
      <c r="Q78" s="97"/>
      <c r="R78" s="102"/>
      <c r="T78" s="93"/>
      <c r="U78" s="94"/>
      <c r="V78" s="94"/>
      <c r="W78" s="211"/>
      <c r="X78" s="289"/>
      <c r="Y78" s="289"/>
      <c r="Z78" s="289"/>
      <c r="AA78" s="280"/>
      <c r="AB78" s="97"/>
      <c r="AC78" s="97"/>
      <c r="AD78" s="97"/>
      <c r="AE78" s="97"/>
      <c r="AF78" s="568"/>
      <c r="AG78" s="96"/>
      <c r="AH78" s="97"/>
      <c r="AI78" s="97"/>
      <c r="AJ78" s="98"/>
      <c r="AK78" s="102"/>
      <c r="AL78" s="103"/>
      <c r="AM78" s="93"/>
      <c r="AN78" s="94"/>
      <c r="AO78" s="94"/>
      <c r="AP78" s="95"/>
      <c r="AQ78" s="100"/>
      <c r="AR78" s="97"/>
      <c r="AS78" s="128"/>
      <c r="AT78" s="128"/>
      <c r="AU78" s="104"/>
      <c r="AV78" s="97"/>
      <c r="AW78" s="98"/>
      <c r="AX78" s="94"/>
      <c r="AY78" s="239"/>
      <c r="BB78" s="97"/>
      <c r="BC78" s="105"/>
      <c r="BG78" s="147" t="s">
        <v>1</v>
      </c>
      <c r="BH78" s="52">
        <f>Q94/1000</f>
        <v>4888.3860000000004</v>
      </c>
      <c r="BI78" s="52">
        <f>AJ94/1000</f>
        <v>837.822</v>
      </c>
      <c r="BJ78" s="52">
        <f>BB94/1000</f>
        <v>0</v>
      </c>
      <c r="BK78" s="137">
        <f t="shared" si="25"/>
        <v>0.14631358134388411</v>
      </c>
      <c r="BL78" s="52">
        <f t="shared" si="26"/>
        <v>5726.2080000000005</v>
      </c>
      <c r="BM78" s="6"/>
      <c r="BN78" s="6"/>
      <c r="BO78" s="6"/>
    </row>
    <row r="79" spans="1:67">
      <c r="A79" s="699"/>
      <c r="B79" s="23"/>
      <c r="C79" s="17" t="s">
        <v>33</v>
      </c>
      <c r="D79" s="57"/>
      <c r="E79" s="2"/>
      <c r="F79" s="2"/>
      <c r="G79" s="63"/>
      <c r="H79" s="2"/>
      <c r="I79" s="20"/>
      <c r="J79" s="21"/>
      <c r="K79" s="21"/>
      <c r="L79" s="22"/>
      <c r="M79" s="2"/>
      <c r="N79" s="23"/>
      <c r="O79" s="19"/>
      <c r="P79" s="19"/>
      <c r="Q79" s="19"/>
      <c r="R79" s="305"/>
      <c r="T79" s="57"/>
      <c r="U79" s="2"/>
      <c r="V79" s="2"/>
      <c r="W79" s="199"/>
      <c r="X79" s="198"/>
      <c r="Y79" s="198"/>
      <c r="Z79" s="198"/>
      <c r="AA79" s="274"/>
      <c r="AB79" s="21"/>
      <c r="AC79" s="21"/>
      <c r="AD79" s="21"/>
      <c r="AE79" s="21"/>
      <c r="AF79" s="355"/>
      <c r="AG79" s="20"/>
      <c r="AH79" s="21"/>
      <c r="AI79" s="21"/>
      <c r="AJ79" s="22"/>
      <c r="AK79" s="29"/>
      <c r="AL79" s="19"/>
      <c r="AM79" s="57"/>
      <c r="AN79" s="2"/>
      <c r="AO79" s="2"/>
      <c r="AP79" s="63"/>
      <c r="AQ79" s="68"/>
      <c r="AR79" s="21"/>
      <c r="AS79" s="21"/>
      <c r="AT79" s="21"/>
      <c r="AU79" s="240"/>
      <c r="AV79" s="19"/>
      <c r="AW79" s="195"/>
      <c r="AX79" s="2"/>
      <c r="AY79" s="238"/>
      <c r="BB79" s="19"/>
      <c r="BC79" s="24"/>
      <c r="BG79" s="142"/>
    </row>
    <row r="80" spans="1:67">
      <c r="A80" s="699"/>
      <c r="B80" s="23"/>
      <c r="C80" s="17" t="s">
        <v>34</v>
      </c>
      <c r="D80" s="57"/>
      <c r="E80" s="2"/>
      <c r="F80" s="2"/>
      <c r="G80" s="63"/>
      <c r="H80" s="2"/>
      <c r="I80" s="20"/>
      <c r="J80" s="21"/>
      <c r="K80" s="21"/>
      <c r="L80" s="22"/>
      <c r="M80" s="2"/>
      <c r="N80" s="23"/>
      <c r="O80" s="19"/>
      <c r="P80" s="19"/>
      <c r="Q80" s="19"/>
      <c r="R80" s="305"/>
      <c r="T80" s="57"/>
      <c r="U80" s="2"/>
      <c r="V80" s="2"/>
      <c r="W80" s="199"/>
      <c r="X80" s="198"/>
      <c r="Y80" s="198"/>
      <c r="Z80" s="198"/>
      <c r="AA80" s="274"/>
      <c r="AB80" s="21"/>
      <c r="AC80" s="21"/>
      <c r="AD80" s="21"/>
      <c r="AE80" s="21"/>
      <c r="AF80" s="355"/>
      <c r="AG80" s="20"/>
      <c r="AH80" s="21"/>
      <c r="AI80" s="21"/>
      <c r="AJ80" s="22"/>
      <c r="AK80" s="29"/>
      <c r="AL80" s="19"/>
      <c r="AM80" s="57"/>
      <c r="AN80" s="2"/>
      <c r="AO80" s="2"/>
      <c r="AP80" s="63"/>
      <c r="AQ80" s="68"/>
      <c r="AR80" s="21"/>
      <c r="AS80" s="21"/>
      <c r="AT80" s="21"/>
      <c r="AU80" s="240"/>
      <c r="AV80" s="19"/>
      <c r="AW80" s="195"/>
      <c r="AX80" s="2"/>
      <c r="AY80" s="238"/>
      <c r="BB80" s="19"/>
      <c r="BC80" s="24"/>
    </row>
    <row r="81" spans="1:81">
      <c r="A81" s="699"/>
      <c r="B81" s="23"/>
      <c r="C81" s="17" t="s">
        <v>35</v>
      </c>
      <c r="D81" s="57"/>
      <c r="E81" s="2"/>
      <c r="F81" s="2"/>
      <c r="G81" s="63"/>
      <c r="H81" s="2"/>
      <c r="I81" s="20"/>
      <c r="J81" s="21"/>
      <c r="K81" s="21"/>
      <c r="L81" s="22"/>
      <c r="M81" s="2"/>
      <c r="N81" s="23"/>
      <c r="O81" s="19"/>
      <c r="P81" s="19"/>
      <c r="Q81" s="19"/>
      <c r="R81" s="305"/>
      <c r="T81" s="57"/>
      <c r="U81" s="2"/>
      <c r="V81" s="2"/>
      <c r="W81" s="199"/>
      <c r="X81" s="198"/>
      <c r="Y81" s="198"/>
      <c r="Z81" s="198"/>
      <c r="AA81" s="274"/>
      <c r="AB81" s="21"/>
      <c r="AC81" s="21"/>
      <c r="AD81" s="21"/>
      <c r="AE81" s="21"/>
      <c r="AF81" s="355"/>
      <c r="AG81" s="20"/>
      <c r="AH81" s="21"/>
      <c r="AI81" s="21"/>
      <c r="AJ81" s="22"/>
      <c r="AK81" s="29"/>
      <c r="AL81" s="19"/>
      <c r="AM81" s="57"/>
      <c r="AN81" s="2"/>
      <c r="AO81" s="2"/>
      <c r="AP81" s="63"/>
      <c r="AQ81" s="68"/>
      <c r="AR81" s="21"/>
      <c r="AS81" s="21"/>
      <c r="AT81" s="21"/>
      <c r="AU81" s="240"/>
      <c r="AV81" s="19"/>
      <c r="AW81" s="195"/>
      <c r="AX81" s="2"/>
      <c r="AY81" s="238"/>
      <c r="BB81" s="19"/>
      <c r="BC81" s="24"/>
    </row>
    <row r="82" spans="1:81">
      <c r="A82" s="699"/>
      <c r="B82" s="23"/>
      <c r="C82" s="17" t="s">
        <v>36</v>
      </c>
      <c r="D82" s="57"/>
      <c r="E82" s="2"/>
      <c r="F82" s="2"/>
      <c r="G82" s="63"/>
      <c r="H82" s="2"/>
      <c r="I82" s="20"/>
      <c r="J82" s="21"/>
      <c r="K82" s="21"/>
      <c r="L82" s="22"/>
      <c r="M82" s="2"/>
      <c r="N82" s="23"/>
      <c r="O82" s="19"/>
      <c r="P82" s="19"/>
      <c r="Q82" s="19"/>
      <c r="R82" s="305"/>
      <c r="T82" s="57"/>
      <c r="U82" s="2"/>
      <c r="V82" s="2"/>
      <c r="W82" s="199"/>
      <c r="X82" s="198"/>
      <c r="Y82" s="198"/>
      <c r="Z82" s="198"/>
      <c r="AA82" s="274"/>
      <c r="AB82" s="21"/>
      <c r="AC82" s="21"/>
      <c r="AD82" s="21"/>
      <c r="AE82" s="21"/>
      <c r="AF82" s="355"/>
      <c r="AG82" s="20"/>
      <c r="AH82" s="21"/>
      <c r="AI82" s="21"/>
      <c r="AJ82" s="22"/>
      <c r="AK82" s="29"/>
      <c r="AL82" s="19"/>
      <c r="AM82" s="57"/>
      <c r="AN82" s="2"/>
      <c r="AO82" s="2"/>
      <c r="AP82" s="63"/>
      <c r="AQ82" s="68"/>
      <c r="AR82" s="21"/>
      <c r="AS82" s="21"/>
      <c r="AT82" s="21"/>
      <c r="AU82" s="240"/>
      <c r="AV82" s="19"/>
      <c r="AW82" s="195"/>
      <c r="AX82" s="2"/>
      <c r="AY82" s="238"/>
      <c r="BB82" s="19"/>
      <c r="BC82" s="24"/>
    </row>
    <row r="83" spans="1:81" s="90" customFormat="1">
      <c r="A83" s="699"/>
      <c r="B83" s="91" t="s">
        <v>43</v>
      </c>
      <c r="C83" s="92"/>
      <c r="D83" s="93"/>
      <c r="E83" s="94"/>
      <c r="F83" s="94"/>
      <c r="G83" s="63"/>
      <c r="H83" s="94"/>
      <c r="I83" s="96"/>
      <c r="J83" s="97"/>
      <c r="K83" s="97"/>
      <c r="L83" s="98"/>
      <c r="M83" s="94"/>
      <c r="N83" s="96"/>
      <c r="O83" s="97"/>
      <c r="P83" s="97"/>
      <c r="Q83" s="97"/>
      <c r="R83" s="102"/>
      <c r="T83" s="93"/>
      <c r="U83" s="94"/>
      <c r="V83" s="94"/>
      <c r="W83" s="211"/>
      <c r="X83" s="289"/>
      <c r="Y83" s="289"/>
      <c r="Z83" s="289"/>
      <c r="AA83" s="280"/>
      <c r="AB83" s="97"/>
      <c r="AC83" s="97"/>
      <c r="AD83" s="97"/>
      <c r="AE83" s="97"/>
      <c r="AF83" s="568"/>
      <c r="AG83" s="96"/>
      <c r="AH83" s="97"/>
      <c r="AI83" s="97"/>
      <c r="AJ83" s="98"/>
      <c r="AK83" s="102"/>
      <c r="AL83" s="103"/>
      <c r="AM83" s="93"/>
      <c r="AN83" s="94"/>
      <c r="AO83" s="94"/>
      <c r="AP83" s="95"/>
      <c r="AQ83" s="100"/>
      <c r="AR83" s="97"/>
      <c r="AS83" s="97"/>
      <c r="AT83" s="97"/>
      <c r="AU83" s="104"/>
      <c r="AV83" s="97"/>
      <c r="AW83" s="98"/>
      <c r="AX83" s="94"/>
      <c r="AY83" s="239"/>
      <c r="BB83" s="97"/>
      <c r="BC83" s="105"/>
      <c r="BG83" s="143"/>
    </row>
    <row r="84" spans="1:81" s="106" customFormat="1">
      <c r="A84" s="699"/>
      <c r="B84" s="107" t="s">
        <v>67</v>
      </c>
      <c r="C84" s="108"/>
      <c r="D84" s="109"/>
      <c r="E84" s="110"/>
      <c r="F84" s="110"/>
      <c r="G84" s="63"/>
      <c r="H84" s="110"/>
      <c r="I84" s="112">
        <f>D97*'[2]Lfill en &amp; composn'!B$137</f>
        <v>219958.02389053008</v>
      </c>
      <c r="J84" s="113">
        <f>(E97-J93)*SUM('[2]C&amp;I composn'!$D$21:$D$22)</f>
        <v>115424.83474863817</v>
      </c>
      <c r="K84" s="113">
        <f>(F97-K93)*'[2]Lfill en &amp; composn'!C$148</f>
        <v>26427.864444069244</v>
      </c>
      <c r="L84" s="114">
        <f>SUM(I84:K84)</f>
        <v>361810.72308323754</v>
      </c>
      <c r="M84" s="110"/>
      <c r="N84" s="112">
        <f>I84</f>
        <v>219958.02389053008</v>
      </c>
      <c r="O84" s="113">
        <f t="shared" ref="O84:O85" si="29">J84</f>
        <v>115424.83474863817</v>
      </c>
      <c r="P84" s="113">
        <f t="shared" ref="P84:P85" si="30">K84</f>
        <v>26427.864444069244</v>
      </c>
      <c r="Q84" s="114">
        <f>SUM(N84:P84)</f>
        <v>361810.72308323754</v>
      </c>
      <c r="R84" s="118">
        <f>Q84/[2]Popn!$E$43*1000</f>
        <v>81.222358717465028</v>
      </c>
      <c r="T84" s="202">
        <f>[2]PACIA!$C$31*[2]PACIA!D$31</f>
        <v>17722.2</v>
      </c>
      <c r="U84" s="130">
        <f>[2]PACIA!$C$31*[2]PACIA!E$31</f>
        <v>11785.263000000001</v>
      </c>
      <c r="V84" s="130">
        <f>[2]PACIA!$C$31*[2]PACIA!F$31</f>
        <v>59.073999999999998</v>
      </c>
      <c r="W84" s="203"/>
      <c r="X84" s="130"/>
      <c r="Y84" s="130"/>
      <c r="Z84" s="130"/>
      <c r="AA84" s="276"/>
      <c r="AB84" s="113"/>
      <c r="AC84" s="113"/>
      <c r="AD84" s="113"/>
      <c r="AE84" s="113"/>
      <c r="AF84" s="554" t="s">
        <v>117</v>
      </c>
      <c r="AG84" s="112">
        <f>T84</f>
        <v>17722.2</v>
      </c>
      <c r="AH84" s="113">
        <f>U84</f>
        <v>11785.263000000001</v>
      </c>
      <c r="AI84" s="113">
        <f>V84</f>
        <v>59.073999999999998</v>
      </c>
      <c r="AJ84" s="114">
        <f>SUM(AG84:AI84)</f>
        <v>29566.537000000004</v>
      </c>
      <c r="AK84" s="115">
        <f>AJ84/[2]Popn!$E$43*1000</f>
        <v>6.6373485389893379</v>
      </c>
      <c r="AL84" s="119"/>
      <c r="AM84" s="109"/>
      <c r="AN84" s="110"/>
      <c r="AO84" s="110"/>
      <c r="AP84" s="111"/>
      <c r="AQ84" s="116"/>
      <c r="AR84" s="113"/>
      <c r="AS84" s="113"/>
      <c r="AT84" s="113"/>
      <c r="AU84" s="120"/>
      <c r="AV84" s="113"/>
      <c r="AW84" s="114"/>
      <c r="AX84" s="110"/>
      <c r="AY84" s="237"/>
      <c r="BB84" s="113"/>
      <c r="BC84" s="118">
        <f>BB84/[2]Popn!$E$43*1000</f>
        <v>0</v>
      </c>
      <c r="BG84" s="144"/>
    </row>
    <row r="85" spans="1:81" s="106" customFormat="1">
      <c r="A85" s="699"/>
      <c r="B85" s="37" t="s">
        <v>8</v>
      </c>
      <c r="C85" s="129" t="s">
        <v>8</v>
      </c>
      <c r="D85" s="109"/>
      <c r="E85" s="110"/>
      <c r="F85" s="110"/>
      <c r="G85" s="63"/>
      <c r="H85" s="110"/>
      <c r="I85" s="112">
        <f>D97*'[2]Lfill en &amp; composn'!B$138</f>
        <v>82181.415224597949</v>
      </c>
      <c r="J85" s="113">
        <f>(E97-J93)*SUM('[2]C&amp;I composn'!$D$23:$D$24)</f>
        <v>8480.6580914449241</v>
      </c>
      <c r="K85" s="113">
        <f>(F97-K93)*'[2]Lfill en &amp; composn'!C$149</f>
        <v>5662.8180834197801</v>
      </c>
      <c r="L85" s="114">
        <f>SUM(I85:K85)</f>
        <v>96324.891399462664</v>
      </c>
      <c r="M85" s="110"/>
      <c r="N85" s="112">
        <f>I85</f>
        <v>82181.415224597949</v>
      </c>
      <c r="O85" s="113">
        <f t="shared" si="29"/>
        <v>8480.6580914449241</v>
      </c>
      <c r="P85" s="113">
        <f t="shared" si="30"/>
        <v>5662.8180834197801</v>
      </c>
      <c r="Q85" s="114">
        <f>SUM(N85:P85)</f>
        <v>96324.891399462664</v>
      </c>
      <c r="R85" s="118">
        <f>Q85/[2]Popn!$E$43*1000</f>
        <v>21.623833633222922</v>
      </c>
      <c r="T85" s="202"/>
      <c r="U85" s="130"/>
      <c r="V85" s="130"/>
      <c r="W85" s="203"/>
      <c r="X85" s="130"/>
      <c r="Y85" s="130"/>
      <c r="Z85" s="130"/>
      <c r="AA85" s="276"/>
      <c r="AB85" s="113"/>
      <c r="AC85" s="113"/>
      <c r="AD85" s="113"/>
      <c r="AE85" s="113">
        <f>SUM(T97:V97)*[2]QLD!$E$106</f>
        <v>87784.970294994331</v>
      </c>
      <c r="AF85" s="567"/>
      <c r="AJ85" s="114">
        <f>AE85</f>
        <v>87784.970294994331</v>
      </c>
      <c r="AK85" s="118">
        <f>AJ85/[2]Popn!$E$43*1000</f>
        <v>19.706719266199588</v>
      </c>
      <c r="AL85" s="119"/>
      <c r="AM85" s="109"/>
      <c r="AN85" s="110"/>
      <c r="AO85" s="110"/>
      <c r="AP85" s="111"/>
      <c r="AQ85" s="116"/>
      <c r="AR85" s="113"/>
      <c r="AS85" s="113"/>
      <c r="AT85" s="113"/>
      <c r="AU85" s="120"/>
      <c r="AV85" s="113"/>
      <c r="AW85" s="114"/>
      <c r="AX85" s="110"/>
      <c r="AY85" s="237"/>
      <c r="BB85" s="113"/>
      <c r="BC85" s="121"/>
      <c r="BG85" s="144"/>
    </row>
    <row r="86" spans="1:81">
      <c r="A86" s="699"/>
      <c r="B86" s="23" t="s">
        <v>7</v>
      </c>
      <c r="C86" s="17" t="s">
        <v>9</v>
      </c>
      <c r="D86" s="57"/>
      <c r="E86" s="2"/>
      <c r="F86" s="2"/>
      <c r="G86" s="63"/>
      <c r="H86" s="2"/>
      <c r="I86" s="20"/>
      <c r="J86" s="21">
        <f>(E97-J93)*'[2]C&amp;I composn'!$D$25</f>
        <v>17281.69316824793</v>
      </c>
      <c r="K86" s="21"/>
      <c r="L86" s="22"/>
      <c r="M86" s="2"/>
      <c r="N86" s="20"/>
      <c r="O86" s="21"/>
      <c r="P86" s="21"/>
      <c r="Q86" s="22"/>
      <c r="R86" s="29"/>
      <c r="T86" s="57"/>
      <c r="U86" s="2"/>
      <c r="V86" s="2"/>
      <c r="W86" s="199"/>
      <c r="X86" s="198"/>
      <c r="Y86" s="198"/>
      <c r="Z86" s="198"/>
      <c r="AA86" s="274"/>
      <c r="AB86" s="21"/>
      <c r="AC86" s="21"/>
      <c r="AD86" s="21"/>
      <c r="AE86" s="21"/>
      <c r="AF86" s="355"/>
      <c r="AG86" s="20"/>
      <c r="AH86" s="21"/>
      <c r="AI86" s="21"/>
      <c r="AJ86" s="22"/>
      <c r="AK86" s="29"/>
      <c r="AL86" s="19"/>
      <c r="AM86" s="57"/>
      <c r="AN86" s="2"/>
      <c r="AO86" s="2"/>
      <c r="AP86" s="63"/>
      <c r="AQ86" s="68"/>
      <c r="AR86" s="21"/>
      <c r="AS86" s="35"/>
      <c r="AT86" s="21"/>
      <c r="AU86" s="25"/>
      <c r="AV86" s="21"/>
      <c r="AW86" s="22"/>
      <c r="AX86" s="2"/>
      <c r="AY86" s="238"/>
      <c r="BB86" s="21"/>
      <c r="BC86" s="29"/>
    </row>
    <row r="87" spans="1:81">
      <c r="A87" s="699"/>
      <c r="B87" s="23"/>
      <c r="C87" s="17" t="s">
        <v>10</v>
      </c>
      <c r="D87" s="57"/>
      <c r="E87" s="2"/>
      <c r="F87" s="2"/>
      <c r="G87" s="63"/>
      <c r="H87" s="2"/>
      <c r="I87" s="20"/>
      <c r="J87" s="21">
        <f>(E97-J93)*'[2]C&amp;I composn'!$D$26</f>
        <v>6386.9389477115046</v>
      </c>
      <c r="K87" s="21"/>
      <c r="L87" s="22"/>
      <c r="M87" s="2"/>
      <c r="N87" s="20"/>
      <c r="O87" s="21"/>
      <c r="P87" s="21"/>
      <c r="Q87" s="22"/>
      <c r="R87" s="305"/>
      <c r="T87" s="57"/>
      <c r="U87" s="2"/>
      <c r="V87" s="2"/>
      <c r="W87" s="199"/>
      <c r="X87" s="198"/>
      <c r="Y87" s="198"/>
      <c r="Z87" s="198"/>
      <c r="AA87" s="274"/>
      <c r="AB87" s="21"/>
      <c r="AC87" s="21"/>
      <c r="AD87" s="21"/>
      <c r="AE87" s="21">
        <f>SUM(T97:V97)*[2]QLD!$E$107</f>
        <v>42000.567684242982</v>
      </c>
      <c r="AF87" s="355"/>
      <c r="AG87" s="20"/>
      <c r="AH87" s="21"/>
      <c r="AI87" s="21"/>
      <c r="AJ87" s="22">
        <f>AE87</f>
        <v>42000.567684242982</v>
      </c>
      <c r="AK87" s="29">
        <f>AJ87/[2]Popn!$E$43*1000</f>
        <v>9.4286458558110091</v>
      </c>
      <c r="AL87" s="19"/>
      <c r="AM87" s="57"/>
      <c r="AN87" s="2"/>
      <c r="AO87" s="2"/>
      <c r="AP87" s="63"/>
      <c r="AQ87" s="68"/>
      <c r="AR87" s="21"/>
      <c r="AS87" s="21"/>
      <c r="AT87" s="21"/>
      <c r="AU87" s="240"/>
      <c r="AV87" s="21"/>
      <c r="AW87" s="195"/>
      <c r="AX87" s="2"/>
      <c r="AY87" s="238"/>
      <c r="BB87" s="21"/>
      <c r="BC87" s="29"/>
    </row>
    <row r="88" spans="1:81" s="106" customFormat="1" ht="15.75">
      <c r="A88" s="699"/>
      <c r="B88" s="107" t="s">
        <v>67</v>
      </c>
      <c r="C88" s="108"/>
      <c r="D88" s="109"/>
      <c r="E88" s="110"/>
      <c r="F88" s="110"/>
      <c r="G88" s="63"/>
      <c r="H88" s="110"/>
      <c r="I88" s="112">
        <f>D97*'[2]Lfill en &amp; composn'!B$139</f>
        <v>42513.575000000004</v>
      </c>
      <c r="J88" s="113">
        <f>SUM(J86:J87)</f>
        <v>23668.632115959434</v>
      </c>
      <c r="K88" s="113">
        <f>(F97-K93)*'[2]Lfill en &amp; composn'!C$150</f>
        <v>0</v>
      </c>
      <c r="L88" s="114">
        <f>SUM(I88:K88)</f>
        <v>66182.207115959434</v>
      </c>
      <c r="M88" s="110"/>
      <c r="N88" s="112">
        <f>I88-AU88</f>
        <v>39694.13732127523</v>
      </c>
      <c r="O88" s="113">
        <f t="shared" ref="O88" si="31">J88-AV88</f>
        <v>22098.963293904097</v>
      </c>
      <c r="P88" s="113">
        <f t="shared" ref="P88" si="32">K88-AW88</f>
        <v>0</v>
      </c>
      <c r="Q88" s="114">
        <f>SUM(N88:P88)</f>
        <v>61793.100615179326</v>
      </c>
      <c r="R88" s="118">
        <f>Q88/[2]Popn!$E$43*1000</f>
        <v>13.871842552537743</v>
      </c>
      <c r="T88" s="109"/>
      <c r="U88" s="110"/>
      <c r="V88" s="110"/>
      <c r="W88" s="203"/>
      <c r="X88" s="130"/>
      <c r="Y88" s="130"/>
      <c r="Z88" s="130"/>
      <c r="AA88" s="276"/>
      <c r="AB88" s="113"/>
      <c r="AC88" s="113"/>
      <c r="AD88" s="113"/>
      <c r="AE88" s="113"/>
      <c r="AF88" s="567"/>
      <c r="AG88" s="112"/>
      <c r="AH88" s="113"/>
      <c r="AI88" s="113"/>
      <c r="AJ88" s="114">
        <f>SUM(AJ86:AJ87)</f>
        <v>42000.567684242982</v>
      </c>
      <c r="AK88" s="115">
        <f>AJ88/[2]Popn!$E$43*1000</f>
        <v>9.4286458558110091</v>
      </c>
      <c r="AL88" s="119"/>
      <c r="AM88" s="109"/>
      <c r="AN88" s="110"/>
      <c r="AO88" s="110"/>
      <c r="AP88" s="111"/>
      <c r="AQ88" s="116"/>
      <c r="AR88" s="113">
        <f>L88*'[2]Lfill en &amp; composn'!$D$25</f>
        <v>10423.697620763611</v>
      </c>
      <c r="AS88" s="113">
        <f>AR88/SUM($AR$54:$AR$96)</f>
        <v>3.898252879504014E-2</v>
      </c>
      <c r="AT88" s="113">
        <f>AS88*'[2]Lfill en &amp; composn'!$E$64/'[2]Lfill en &amp; composn'!$B$25</f>
        <v>4389.1065007801117</v>
      </c>
      <c r="AU88" s="120">
        <f>$AT88*I88/SUM($I88:$K88)</f>
        <v>2819.4376787247734</v>
      </c>
      <c r="AV88" s="113">
        <f>$AT88*J88/SUM($I88:$K88)</f>
        <v>1569.6688220553383</v>
      </c>
      <c r="AW88" s="114">
        <f>$AT88*K88/SUM($I88:$K88)</f>
        <v>0</v>
      </c>
      <c r="AX88" s="110"/>
      <c r="AY88" s="241">
        <f>AU88</f>
        <v>2819.4376787247734</v>
      </c>
      <c r="AZ88" s="242">
        <f>AV88</f>
        <v>1569.6688220553383</v>
      </c>
      <c r="BA88" s="242">
        <f>AW88</f>
        <v>0</v>
      </c>
      <c r="BB88" s="243">
        <f>SUM(AY88:BA88)</f>
        <v>4389.1065007801117</v>
      </c>
      <c r="BC88" s="118">
        <f>BB88/[2]Popn!$E$43*1000</f>
        <v>0.98530408280217185</v>
      </c>
      <c r="BD88" s="122"/>
      <c r="BG88" s="144"/>
      <c r="BR88" s="336" t="s">
        <v>106</v>
      </c>
      <c r="BS88" s="315"/>
      <c r="BT88" s="316" t="s">
        <v>109</v>
      </c>
      <c r="BU88" s="316"/>
      <c r="BV88" s="314"/>
      <c r="BW88" s="314"/>
      <c r="BX88" s="314"/>
      <c r="BY88" s="314"/>
      <c r="BZ88" s="314"/>
      <c r="CA88" s="314"/>
    </row>
    <row r="89" spans="1:81" ht="38.25">
      <c r="A89" s="699"/>
      <c r="B89" s="23" t="s">
        <v>11</v>
      </c>
      <c r="C89" s="17" t="s">
        <v>12</v>
      </c>
      <c r="D89" s="57"/>
      <c r="E89" s="2"/>
      <c r="F89" s="2"/>
      <c r="G89" s="63"/>
      <c r="H89" s="2"/>
      <c r="I89" s="20"/>
      <c r="J89" s="21"/>
      <c r="K89" s="21"/>
      <c r="L89" s="22"/>
      <c r="M89" s="256"/>
      <c r="N89" s="20"/>
      <c r="O89" s="21"/>
      <c r="P89" s="21"/>
      <c r="Q89" s="22"/>
      <c r="R89" s="305"/>
      <c r="T89" s="57"/>
      <c r="U89" s="2"/>
      <c r="V89" s="2"/>
      <c r="W89" s="199"/>
      <c r="X89" s="198"/>
      <c r="Y89" s="198"/>
      <c r="Z89" s="198"/>
      <c r="AA89" s="274"/>
      <c r="AB89" s="21"/>
      <c r="AC89" s="21"/>
      <c r="AD89" s="21"/>
      <c r="AE89" s="21"/>
      <c r="AF89" s="569" t="s">
        <v>96</v>
      </c>
      <c r="AG89" s="20"/>
      <c r="AH89" s="21"/>
      <c r="AI89" s="21"/>
      <c r="AJ89" s="22"/>
      <c r="AK89" s="29"/>
      <c r="AL89" s="19"/>
      <c r="AM89" s="57"/>
      <c r="AN89" s="2"/>
      <c r="AO89" s="2"/>
      <c r="AP89" s="63"/>
      <c r="AQ89" s="68"/>
      <c r="AR89" s="21"/>
      <c r="AS89" s="21"/>
      <c r="AT89" s="21"/>
      <c r="AU89" s="25"/>
      <c r="AV89" s="21"/>
      <c r="AW89" s="22"/>
      <c r="AX89" s="256" t="s">
        <v>96</v>
      </c>
      <c r="AY89" s="23"/>
      <c r="AZ89" s="19"/>
      <c r="BA89" s="19"/>
      <c r="BB89" s="19"/>
      <c r="BC89" s="24"/>
      <c r="BR89" s="317"/>
      <c r="BS89" s="317"/>
      <c r="BT89" s="317"/>
      <c r="BU89" s="317"/>
      <c r="BV89" s="318" t="s">
        <v>101</v>
      </c>
      <c r="BW89" s="319" t="s">
        <v>102</v>
      </c>
      <c r="BX89" s="318" t="s">
        <v>103</v>
      </c>
      <c r="BY89" s="318" t="s">
        <v>181</v>
      </c>
      <c r="BZ89" s="574" t="s">
        <v>192</v>
      </c>
      <c r="CA89" s="574" t="s">
        <v>258</v>
      </c>
    </row>
    <row r="90" spans="1:81">
      <c r="A90" s="699"/>
      <c r="B90" s="23"/>
      <c r="C90" s="17" t="s">
        <v>13</v>
      </c>
      <c r="D90" s="57"/>
      <c r="E90" s="2"/>
      <c r="F90" s="2"/>
      <c r="G90" s="199">
        <f>[2]QLD!$E$19</f>
        <v>228188</v>
      </c>
      <c r="H90" s="3"/>
      <c r="I90" s="20"/>
      <c r="J90" s="21"/>
      <c r="K90" s="21">
        <f>G90</f>
        <v>228188</v>
      </c>
      <c r="L90" s="22">
        <f>K90</f>
        <v>228188</v>
      </c>
      <c r="M90" s="256" t="s">
        <v>95</v>
      </c>
      <c r="N90" s="20"/>
      <c r="O90" s="21"/>
      <c r="P90" s="21">
        <f>K90</f>
        <v>228188</v>
      </c>
      <c r="Q90" s="22">
        <f>SUM(N90:P90)</f>
        <v>228188</v>
      </c>
      <c r="R90" s="29"/>
      <c r="T90" s="57"/>
      <c r="U90" s="2"/>
      <c r="V90" s="198"/>
      <c r="W90" s="199"/>
      <c r="X90" s="198"/>
      <c r="Y90" s="198"/>
      <c r="Z90" s="198"/>
      <c r="AA90" s="282"/>
      <c r="AB90" s="21"/>
      <c r="AC90" s="21"/>
      <c r="AD90" s="21"/>
      <c r="AE90" s="21"/>
      <c r="AF90" s="569" t="s">
        <v>95</v>
      </c>
      <c r="AG90" s="20"/>
      <c r="AH90" s="21"/>
      <c r="AI90" s="21"/>
      <c r="AJ90" s="22"/>
      <c r="AK90" s="29"/>
      <c r="AL90" s="19"/>
      <c r="AM90" s="57"/>
      <c r="AN90" s="2"/>
      <c r="AO90" s="2"/>
      <c r="AP90" s="64"/>
      <c r="AQ90" s="69"/>
      <c r="AR90" s="21"/>
      <c r="AS90" s="21"/>
      <c r="AT90" s="21"/>
      <c r="AU90" s="25"/>
      <c r="AV90" s="21"/>
      <c r="AW90" s="22"/>
      <c r="AX90" s="256" t="s">
        <v>95</v>
      </c>
      <c r="AY90" s="20"/>
      <c r="AZ90" s="21"/>
      <c r="BA90" s="21"/>
      <c r="BB90" s="21"/>
      <c r="BC90" s="24"/>
      <c r="BR90" s="317"/>
      <c r="BS90" s="317"/>
      <c r="BT90" s="317"/>
      <c r="BU90" s="575" t="s">
        <v>72</v>
      </c>
      <c r="BV90" s="321">
        <f>BL151</f>
        <v>0.98507358145531265</v>
      </c>
      <c r="BW90" s="322">
        <f>BL104</f>
        <v>0.94435056608011492</v>
      </c>
      <c r="BX90" s="322">
        <f>BL57</f>
        <v>0.80345794974283147</v>
      </c>
      <c r="BY90" s="322">
        <f>BL10</f>
        <v>0.88714972328971908</v>
      </c>
      <c r="BZ90" s="553">
        <f>(BY90-BV90)/BV90</f>
        <v>-9.9407658482652983E-2</v>
      </c>
      <c r="CA90" s="594">
        <f>(BY90/BV90)^(1/3)-1</f>
        <v>-3.429884723647092E-2</v>
      </c>
    </row>
    <row r="91" spans="1:81">
      <c r="A91" s="699"/>
      <c r="B91" s="23"/>
      <c r="C91" s="17" t="s">
        <v>14</v>
      </c>
      <c r="D91" s="57"/>
      <c r="E91" s="2"/>
      <c r="F91" s="2"/>
      <c r="G91" s="199">
        <f>'[2]Haz-Qld'!$F$30</f>
        <v>208050</v>
      </c>
      <c r="H91" s="3"/>
      <c r="I91" s="20"/>
      <c r="J91" s="21">
        <f>G91</f>
        <v>208050</v>
      </c>
      <c r="K91" s="21"/>
      <c r="L91" s="22">
        <f>J91</f>
        <v>208050</v>
      </c>
      <c r="M91" s="256" t="s">
        <v>96</v>
      </c>
      <c r="N91" s="20"/>
      <c r="O91" s="21">
        <f>J91</f>
        <v>208050</v>
      </c>
      <c r="P91" s="21"/>
      <c r="Q91" s="22">
        <f>SUM(N91:P91)</f>
        <v>208050</v>
      </c>
      <c r="R91" s="29"/>
      <c r="T91" s="57"/>
      <c r="U91" s="2"/>
      <c r="V91" s="2"/>
      <c r="W91" s="199">
        <f>'[2]Haz-Qld'!$T$30</f>
        <v>79293</v>
      </c>
      <c r="X91" s="198"/>
      <c r="Y91" s="198"/>
      <c r="Z91" s="198"/>
      <c r="AA91" s="282"/>
      <c r="AB91" s="21"/>
      <c r="AC91" s="21"/>
      <c r="AD91" s="21"/>
      <c r="AE91" s="21"/>
      <c r="AF91" s="569" t="s">
        <v>96</v>
      </c>
      <c r="AG91" s="20"/>
      <c r="AH91" s="21">
        <f>W91</f>
        <v>79293</v>
      </c>
      <c r="AI91" s="21"/>
      <c r="AJ91" s="22">
        <f>SUM(AG91:AI91)</f>
        <v>79293</v>
      </c>
      <c r="AK91" s="29">
        <f>AJ91/[2]Popn!$E$43*1000</f>
        <v>17.800369306086861</v>
      </c>
      <c r="AL91" s="19"/>
      <c r="AM91" s="57"/>
      <c r="AN91" s="2"/>
      <c r="AO91" s="2"/>
      <c r="AP91" s="254">
        <f>'[2]Haz-Qld'!$M$30</f>
        <v>10265</v>
      </c>
      <c r="AQ91" s="69"/>
      <c r="AR91" s="21"/>
      <c r="AS91" s="21"/>
      <c r="AT91" s="21"/>
      <c r="AU91" s="25"/>
      <c r="AV91" s="21"/>
      <c r="AW91" s="22"/>
      <c r="AX91" s="256" t="s">
        <v>96</v>
      </c>
      <c r="AY91" s="23"/>
      <c r="AZ91" s="21">
        <f>AP91</f>
        <v>10265</v>
      </c>
      <c r="BA91" s="19"/>
      <c r="BB91" s="641">
        <f>SUM(AY91:BA91)</f>
        <v>10265</v>
      </c>
      <c r="BC91" s="24"/>
      <c r="BR91" s="317"/>
      <c r="BS91" s="317"/>
      <c r="BT91" s="317"/>
      <c r="BU91" s="576" t="s">
        <v>68</v>
      </c>
      <c r="BV91" s="335">
        <f>BL152</f>
        <v>0.80765507047122997</v>
      </c>
      <c r="BW91" s="324">
        <f>BL105</f>
        <v>0.69717547345525466</v>
      </c>
      <c r="BX91" s="324">
        <f>BL58</f>
        <v>0.80224626302356206</v>
      </c>
      <c r="BY91" s="324">
        <f>BL11</f>
        <v>0.64701276608155256</v>
      </c>
      <c r="BZ91" s="328">
        <f t="shared" ref="BZ91:BZ94" si="33">(BY91-BV91)/BV91</f>
        <v>-0.19889964201667173</v>
      </c>
      <c r="CA91" s="593">
        <f t="shared" ref="CA91:CA94" si="34">(BY91/BV91)^(1/3)-1</f>
        <v>-7.1256810822582506E-2</v>
      </c>
    </row>
    <row r="92" spans="1:81">
      <c r="A92" s="699"/>
      <c r="B92" s="23"/>
      <c r="C92" s="17" t="s">
        <v>15</v>
      </c>
      <c r="D92" s="57"/>
      <c r="E92" s="2"/>
      <c r="F92" s="2"/>
      <c r="G92" s="199">
        <f>'[2]Haz-Qld'!$F$31</f>
        <v>87834</v>
      </c>
      <c r="H92" s="3"/>
      <c r="I92" s="20"/>
      <c r="J92" s="21">
        <f>G92</f>
        <v>87834</v>
      </c>
      <c r="K92" s="21"/>
      <c r="L92" s="22">
        <f>G92</f>
        <v>87834</v>
      </c>
      <c r="M92" s="256" t="s">
        <v>96</v>
      </c>
      <c r="N92" s="20"/>
      <c r="O92" s="21">
        <f>J92</f>
        <v>87834</v>
      </c>
      <c r="P92" s="21"/>
      <c r="Q92" s="22">
        <f>SUM(N92:P92)</f>
        <v>87834</v>
      </c>
      <c r="R92" s="29"/>
      <c r="T92" s="57"/>
      <c r="U92" s="2"/>
      <c r="V92" s="2"/>
      <c r="W92" s="199"/>
      <c r="X92" s="198"/>
      <c r="Y92" s="198"/>
      <c r="Z92" s="198"/>
      <c r="AA92" s="282"/>
      <c r="AB92" s="21"/>
      <c r="AC92" s="21"/>
      <c r="AD92" s="21"/>
      <c r="AE92" s="21"/>
      <c r="AF92" s="569" t="s">
        <v>94</v>
      </c>
      <c r="AG92" s="20"/>
      <c r="AH92" s="21"/>
      <c r="AI92" s="21"/>
      <c r="AJ92" s="22"/>
      <c r="AK92" s="29"/>
      <c r="AL92" s="19"/>
      <c r="AM92" s="57"/>
      <c r="AN92" s="2"/>
      <c r="AO92" s="2"/>
      <c r="AP92" s="64"/>
      <c r="AQ92" s="69"/>
      <c r="AR92" s="21"/>
      <c r="AS92" s="21"/>
      <c r="AT92" s="21"/>
      <c r="AU92" s="25"/>
      <c r="AV92" s="21"/>
      <c r="AW92" s="22"/>
      <c r="AX92" s="256" t="s">
        <v>94</v>
      </c>
      <c r="AY92" s="23"/>
      <c r="AZ92" s="19"/>
      <c r="BA92" s="19"/>
      <c r="BB92" s="21"/>
      <c r="BC92" s="24"/>
      <c r="BR92" s="317"/>
      <c r="BS92" s="317"/>
      <c r="BT92" s="317"/>
      <c r="BU92" s="576" t="s">
        <v>69</v>
      </c>
      <c r="BV92" s="585">
        <f>BL153</f>
        <v>7.5477017055207249E-2</v>
      </c>
      <c r="BW92" s="586">
        <f>BL106</f>
        <v>7.8134645051366428E-2</v>
      </c>
      <c r="BX92" s="586">
        <f>BL59</f>
        <v>7.7519015376476777E-2</v>
      </c>
      <c r="BY92" s="586">
        <f>BL12</f>
        <v>7.5654441030088934E-2</v>
      </c>
      <c r="BZ92" s="328">
        <f t="shared" si="33"/>
        <v>2.3507019991517346E-3</v>
      </c>
      <c r="CA92" s="593">
        <f t="shared" si="34"/>
        <v>7.8295415585238892E-4</v>
      </c>
    </row>
    <row r="93" spans="1:81" s="106" customFormat="1">
      <c r="A93" s="699"/>
      <c r="B93" s="107" t="s">
        <v>67</v>
      </c>
      <c r="C93" s="108"/>
      <c r="D93" s="109"/>
      <c r="E93" s="110"/>
      <c r="F93" s="110"/>
      <c r="G93" s="63"/>
      <c r="H93" s="125"/>
      <c r="I93" s="112">
        <f>D97*'[2]Lfill en &amp; composn'!B$140</f>
        <v>29517.77180082152</v>
      </c>
      <c r="J93" s="113">
        <f>SUM(J89:J92)</f>
        <v>295884</v>
      </c>
      <c r="K93" s="113">
        <f>SUM(K89:K92)</f>
        <v>228188</v>
      </c>
      <c r="L93" s="114">
        <f>SUM(I93:K93)</f>
        <v>553589.77180082153</v>
      </c>
      <c r="M93" s="110"/>
      <c r="N93" s="112">
        <f>I93</f>
        <v>29517.77180082152</v>
      </c>
      <c r="O93" s="113">
        <f t="shared" ref="O93" si="35">J93</f>
        <v>295884</v>
      </c>
      <c r="P93" s="113">
        <f t="shared" ref="P93" si="36">K93</f>
        <v>228188</v>
      </c>
      <c r="Q93" s="114">
        <f>SUM(N93:P93)</f>
        <v>553589.77180082153</v>
      </c>
      <c r="R93" s="118">
        <f>Q93/[2]Popn!$E$43*1000</f>
        <v>124.27455616671047</v>
      </c>
      <c r="T93" s="109"/>
      <c r="U93" s="110"/>
      <c r="V93" s="110"/>
      <c r="W93" s="203"/>
      <c r="X93" s="130"/>
      <c r="Y93" s="130"/>
      <c r="Z93" s="130"/>
      <c r="AA93" s="284"/>
      <c r="AB93" s="113"/>
      <c r="AC93" s="113"/>
      <c r="AD93" s="113"/>
      <c r="AE93" s="113"/>
      <c r="AF93" s="567"/>
      <c r="AG93" s="112"/>
      <c r="AH93" s="113"/>
      <c r="AI93" s="113"/>
      <c r="AJ93" s="114">
        <f>SUM(AJ89:AJ92)</f>
        <v>79293</v>
      </c>
      <c r="AK93" s="115">
        <f>AJ93/[2]Popn!$E$43*1000</f>
        <v>17.800369306086861</v>
      </c>
      <c r="AL93" s="119"/>
      <c r="AM93" s="109"/>
      <c r="AN93" s="110"/>
      <c r="AO93" s="110"/>
      <c r="AP93" s="124"/>
      <c r="AQ93" s="126"/>
      <c r="AR93" s="113"/>
      <c r="AS93" s="113"/>
      <c r="AT93" s="113"/>
      <c r="AU93" s="120"/>
      <c r="AV93" s="113"/>
      <c r="AW93" s="114"/>
      <c r="AX93" s="110"/>
      <c r="AY93" s="127"/>
      <c r="AZ93" s="113">
        <f t="shared" ref="AZ93" si="37">SUM(AZ89:AZ92)</f>
        <v>10265</v>
      </c>
      <c r="BA93" s="119"/>
      <c r="BB93" s="243">
        <f>SUM(AY93:BA93)</f>
        <v>10265</v>
      </c>
      <c r="BC93" s="121"/>
      <c r="BG93" s="144"/>
      <c r="BR93" s="314"/>
      <c r="BS93" s="314"/>
      <c r="BT93" s="314"/>
      <c r="BU93" s="576" t="s">
        <v>240</v>
      </c>
      <c r="BV93" s="630">
        <f>SUM(BV91:BV92)/BV94</f>
        <v>0.47271673680755988</v>
      </c>
      <c r="BW93" s="328">
        <f t="shared" ref="BW93:BY93" si="38">SUM(BW91:BW92)/BW94</f>
        <v>0.45085063899855427</v>
      </c>
      <c r="BX93" s="328">
        <f t="shared" si="38"/>
        <v>0.52266702579354207</v>
      </c>
      <c r="BY93" s="328">
        <f t="shared" si="38"/>
        <v>0.44891266420677134</v>
      </c>
      <c r="BZ93" s="328">
        <f t="shared" si="33"/>
        <v>-5.0355891271264705E-2</v>
      </c>
      <c r="CA93" s="593">
        <f t="shared" si="34"/>
        <v>-1.7075200051459793E-2</v>
      </c>
      <c r="CB93" s="6"/>
      <c r="CC93" s="6"/>
    </row>
    <row r="94" spans="1:81" s="106" customFormat="1" ht="13.5" thickBot="1">
      <c r="A94" s="699"/>
      <c r="B94" s="131" t="s">
        <v>37</v>
      </c>
      <c r="C94" s="132" t="s">
        <v>1</v>
      </c>
      <c r="D94" s="109"/>
      <c r="E94" s="110"/>
      <c r="F94" s="110"/>
      <c r="G94" s="203">
        <f>[2]QLD!$E$27</f>
        <v>4888386</v>
      </c>
      <c r="H94" s="130"/>
      <c r="I94" s="112"/>
      <c r="J94" s="113"/>
      <c r="K94" s="113"/>
      <c r="L94" s="114">
        <f>G94</f>
        <v>4888386</v>
      </c>
      <c r="M94" s="110"/>
      <c r="N94" s="127"/>
      <c r="O94" s="119"/>
      <c r="P94" s="119"/>
      <c r="Q94" s="113">
        <f>L94</f>
        <v>4888386</v>
      </c>
      <c r="R94" s="118">
        <f>Q94/[2]Popn!$E$43*1000</f>
        <v>1097.3866055100036</v>
      </c>
      <c r="T94" s="109"/>
      <c r="U94" s="110"/>
      <c r="V94" s="110"/>
      <c r="W94" s="203">
        <f>[2]QLD!$J$27</f>
        <v>837822</v>
      </c>
      <c r="X94" s="130"/>
      <c r="Y94" s="130"/>
      <c r="Z94" s="130"/>
      <c r="AA94" s="285"/>
      <c r="AB94" s="113"/>
      <c r="AC94" s="113"/>
      <c r="AD94" s="113"/>
      <c r="AE94" s="113"/>
      <c r="AF94" s="567"/>
      <c r="AG94" s="112"/>
      <c r="AH94" s="113"/>
      <c r="AI94" s="113"/>
      <c r="AJ94" s="114">
        <f>W94</f>
        <v>837822</v>
      </c>
      <c r="AK94" s="115">
        <f>AJ94/[2]Popn!$E$43*1000</f>
        <v>188.08143231766115</v>
      </c>
      <c r="AL94" s="119"/>
      <c r="AM94" s="109"/>
      <c r="AN94" s="110"/>
      <c r="AO94" s="110"/>
      <c r="AP94" s="111"/>
      <c r="AQ94" s="117"/>
      <c r="AR94" s="113"/>
      <c r="AS94" s="113"/>
      <c r="AT94" s="113"/>
      <c r="AU94" s="120"/>
      <c r="AV94" s="113"/>
      <c r="AW94" s="114"/>
      <c r="AX94" s="110"/>
      <c r="AY94" s="127"/>
      <c r="AZ94" s="119"/>
      <c r="BA94" s="119"/>
      <c r="BB94" s="119"/>
      <c r="BC94" s="121"/>
      <c r="BG94" s="144"/>
      <c r="BR94" s="314"/>
      <c r="BS94" s="314"/>
      <c r="BT94" s="314"/>
      <c r="BU94" s="576" t="s">
        <v>191</v>
      </c>
      <c r="BV94" s="577">
        <f>SUM(BV90:BV92)</f>
        <v>1.8682056689817499</v>
      </c>
      <c r="BW94" s="579">
        <f>SUM(BW90:BW92)</f>
        <v>1.7196606845867359</v>
      </c>
      <c r="BX94" s="579">
        <f>SUM(BX90:BX92)</f>
        <v>1.6832232281428705</v>
      </c>
      <c r="BY94" s="579">
        <f>SUM(BY90:BY92)</f>
        <v>1.6098169304013608</v>
      </c>
      <c r="BZ94" s="580">
        <f t="shared" si="33"/>
        <v>-0.1383085079284776</v>
      </c>
      <c r="CA94" s="652">
        <f t="shared" si="34"/>
        <v>-4.8408395786392666E-2</v>
      </c>
      <c r="CB94" s="6"/>
      <c r="CC94" s="6"/>
    </row>
    <row r="95" spans="1:81" ht="13.5" thickBot="1">
      <c r="B95" s="19"/>
      <c r="C95" s="38"/>
      <c r="D95" s="57"/>
      <c r="E95" s="2"/>
      <c r="F95" s="2"/>
      <c r="G95" s="63"/>
      <c r="H95" s="2"/>
      <c r="I95" s="20"/>
      <c r="J95" s="21"/>
      <c r="K95" s="21"/>
      <c r="L95" s="22"/>
      <c r="M95" s="2"/>
      <c r="N95" s="23"/>
      <c r="O95" s="19"/>
      <c r="P95" s="19"/>
      <c r="Q95" s="19"/>
      <c r="R95" s="24"/>
      <c r="T95" s="57"/>
      <c r="U95" s="2"/>
      <c r="V95" s="2"/>
      <c r="W95" s="63"/>
      <c r="X95" s="2"/>
      <c r="Y95" s="2"/>
      <c r="Z95" s="2"/>
      <c r="AA95" s="274"/>
      <c r="AB95" s="21"/>
      <c r="AC95" s="21"/>
      <c r="AD95" s="21"/>
      <c r="AE95" s="21"/>
      <c r="AF95" s="355"/>
      <c r="AG95" s="20"/>
      <c r="AH95" s="21"/>
      <c r="AI95" s="21"/>
      <c r="AJ95" s="22"/>
      <c r="AK95" s="29"/>
      <c r="AL95" s="19"/>
      <c r="AM95" s="57"/>
      <c r="AN95" s="2"/>
      <c r="AO95" s="2"/>
      <c r="AP95" s="63"/>
      <c r="AQ95" s="68"/>
      <c r="AR95" s="21"/>
      <c r="AS95" s="21"/>
      <c r="AT95" s="21"/>
      <c r="AU95" s="25"/>
      <c r="AV95" s="21"/>
      <c r="AW95" s="22"/>
      <c r="AX95" s="2"/>
      <c r="AY95" s="23"/>
      <c r="AZ95" s="19"/>
      <c r="BA95" s="19"/>
      <c r="BB95" s="19"/>
      <c r="BC95" s="24"/>
      <c r="BR95" s="317"/>
      <c r="BS95" s="317"/>
      <c r="BT95" s="317"/>
      <c r="BU95" s="314"/>
      <c r="BV95" s="314"/>
      <c r="BW95" s="314"/>
      <c r="BX95" s="314"/>
      <c r="BY95" s="314"/>
      <c r="BZ95" s="314"/>
      <c r="CA95" s="653"/>
    </row>
    <row r="96" spans="1:81" ht="13.5" thickBot="1">
      <c r="C96" s="210" t="s">
        <v>90</v>
      </c>
      <c r="D96" s="58"/>
      <c r="E96" s="59"/>
      <c r="F96" s="2"/>
      <c r="G96" s="208">
        <f>[2]QLD!$E$28</f>
        <v>4505120</v>
      </c>
      <c r="H96" s="2"/>
      <c r="I96" s="20"/>
      <c r="J96" s="21"/>
      <c r="K96" s="21"/>
      <c r="L96" s="22"/>
      <c r="M96" s="2"/>
      <c r="N96" s="23"/>
      <c r="O96" s="21"/>
      <c r="P96" s="19"/>
      <c r="Q96" s="19"/>
      <c r="R96" s="24"/>
      <c r="T96" s="58"/>
      <c r="U96" s="59"/>
      <c r="V96" s="2"/>
      <c r="W96" s="208">
        <f>[2]QLD!$J$28</f>
        <v>64</v>
      </c>
      <c r="X96" s="198"/>
      <c r="Y96" s="198"/>
      <c r="Z96" s="198"/>
      <c r="AA96" s="274"/>
      <c r="AB96" s="21"/>
      <c r="AC96" s="21"/>
      <c r="AD96" s="21"/>
      <c r="AE96" s="21"/>
      <c r="AF96" s="355"/>
      <c r="AG96" s="20"/>
      <c r="AH96" s="21"/>
      <c r="AI96" s="21"/>
      <c r="AJ96" s="22"/>
      <c r="AK96" s="40"/>
      <c r="AL96" s="19"/>
      <c r="AM96" s="58"/>
      <c r="AN96" s="59"/>
      <c r="AO96" s="2"/>
      <c r="AP96" s="65"/>
      <c r="AQ96" s="68"/>
      <c r="AR96" s="21"/>
      <c r="AS96" s="21"/>
      <c r="AT96" s="21"/>
      <c r="AU96" s="25"/>
      <c r="AV96" s="21"/>
      <c r="AW96" s="22"/>
      <c r="AX96" s="2"/>
      <c r="AY96" s="23"/>
      <c r="AZ96" s="19"/>
      <c r="BA96" s="19"/>
      <c r="BB96" s="19"/>
      <c r="BC96" s="24"/>
      <c r="BR96" s="317"/>
      <c r="BS96" s="317"/>
      <c r="BT96" s="317"/>
      <c r="BU96" s="317"/>
      <c r="BV96" s="317"/>
      <c r="BW96" s="317"/>
      <c r="BX96" s="317"/>
      <c r="BY96" s="317"/>
      <c r="BZ96" s="317"/>
      <c r="CA96" s="654"/>
    </row>
    <row r="97" spans="1:81" ht="13.5" thickBot="1">
      <c r="C97" s="135" t="s">
        <v>92</v>
      </c>
      <c r="D97" s="134">
        <f>[2]QLD!$E$12-[2]QLD!$O$56</f>
        <v>1700543</v>
      </c>
      <c r="E97" s="134">
        <f>[2]QLD!$E$17</f>
        <v>1150037</v>
      </c>
      <c r="F97" s="134">
        <f>[2]QLD!$E$18</f>
        <v>885794</v>
      </c>
      <c r="G97" s="66"/>
      <c r="H97" s="220"/>
      <c r="I97" s="41">
        <f>SUM(I93,I88,I85,I84,I74,I69,I63,I59)</f>
        <v>1700542.9999999998</v>
      </c>
      <c r="J97" s="218">
        <f>SUM(J93,J88,J85,J84,J74,J69,J63,J59)</f>
        <v>1150037</v>
      </c>
      <c r="K97" s="218">
        <f>SUM(K93,K88,K85,K84,K74,K69,K63,K59)</f>
        <v>885794</v>
      </c>
      <c r="L97" s="42">
        <f>SUM(L93,L88,L85,L84,L74,L69,L63,L59)</f>
        <v>3736374</v>
      </c>
      <c r="M97" s="43"/>
      <c r="N97" s="44">
        <f>SUM(N93,N88,N85,N84,N74,N69,N63,N59,N96)</f>
        <v>1602014.7232249228</v>
      </c>
      <c r="O97" s="45">
        <f>SUM(O93,O88,O85,O84,O74,O69,O63,O59,O96)</f>
        <v>1099021.9549128327</v>
      </c>
      <c r="P97" s="45">
        <f>SUM(P93,P88,P85,P84,P74,P69,P63,P59,P96)</f>
        <v>878023.40277714422</v>
      </c>
      <c r="Q97" s="133">
        <f>SUM(Q93,Q88,Q85,Q84,Q74,Q69,Q63,Q59,Q96)</f>
        <v>3579060.0809148997</v>
      </c>
      <c r="R97" s="27">
        <f>SUM(R93,R88,R85,R84,R74,R69,R63,R59)</f>
        <v>803.45794974283149</v>
      </c>
      <c r="T97" s="60">
        <f>[2]QLD!$J$12</f>
        <v>1256435</v>
      </c>
      <c r="U97" s="134">
        <f>AVERAGE([2]QLD!$I$17,[2]QLD!$K$17)</f>
        <v>1107263</v>
      </c>
      <c r="V97" s="134">
        <f>[2]QLD!$J$18</f>
        <v>1317595</v>
      </c>
      <c r="W97" s="66"/>
      <c r="X97" s="362"/>
      <c r="Y97" s="362"/>
      <c r="Z97" s="362"/>
      <c r="AA97" s="287"/>
      <c r="AB97" s="45"/>
      <c r="AC97" s="45"/>
      <c r="AD97" s="45"/>
      <c r="AE97" s="45"/>
      <c r="AF97" s="230" t="s">
        <v>91</v>
      </c>
      <c r="AG97" s="44">
        <f>$AJ97/SUM($T97:$V97)*T97</f>
        <v>1219700.4394041973</v>
      </c>
      <c r="AH97" s="45">
        <f>$AJ97/SUM($T97:$V97)*U97</f>
        <v>1074889.801411143</v>
      </c>
      <c r="AI97" s="45">
        <f>$AJ97/SUM($T97:$V97)*V97</f>
        <v>1279072.2961846599</v>
      </c>
      <c r="AJ97" s="354">
        <f>SUM(AJ93,AJ88,AJ85,AJ84,AJ74,AJ69,AJ63,AJ59,AJ96)</f>
        <v>3573662.537</v>
      </c>
      <c r="AK97" s="27">
        <f>SUM(AK93,AK88,AK85,AK84,AK74,AK69,AK63,AK59,AK96)</f>
        <v>802.24626302356205</v>
      </c>
      <c r="AL97" s="19"/>
      <c r="AM97" s="60"/>
      <c r="AN97" s="706"/>
      <c r="AO97" s="707"/>
      <c r="AP97" s="66"/>
      <c r="AQ97" s="71"/>
      <c r="AR97" s="45">
        <f>SUM(AR54:AR96)</f>
        <v>267394.08506740711</v>
      </c>
      <c r="AS97" s="46">
        <f>SUM(AS54:AS96)</f>
        <v>1</v>
      </c>
      <c r="AT97" s="45">
        <f>SUM(AT54:AT96)</f>
        <v>278783.45878875384</v>
      </c>
      <c r="AU97" s="47"/>
      <c r="AV97" s="45"/>
      <c r="AW97" s="214"/>
      <c r="AX97" s="43"/>
      <c r="AY97" s="44">
        <f>SUM(AY93,AY88,AY85,AY84,AY74,AY69,AY63,AY59)</f>
        <v>237528.27677507675</v>
      </c>
      <c r="AZ97" s="45">
        <f>SUM(AZ93,AZ88,AZ85,AZ84,AZ74,AZ69,AZ63,AZ59)</f>
        <v>110280.04508716732</v>
      </c>
      <c r="BA97" s="45">
        <f>SUM(BA93,BA88,BA85,BA84,BA74,BA69,BA63,BA59)</f>
        <v>7770.5972228557666</v>
      </c>
      <c r="BB97" s="354">
        <f>SUM(BB93,BB88,BB85,BB84,BB74,BB69,BB63,BB59,BB96)</f>
        <v>355578.91908509983</v>
      </c>
      <c r="BC97" s="27">
        <f>SUM(BC93,BC88,BC85,BC84,BC74,BC69,BC63,BC59,BC96)</f>
        <v>77.519015376476773</v>
      </c>
      <c r="BR97" s="317"/>
      <c r="BS97" s="317"/>
      <c r="BT97" s="317"/>
      <c r="BU97" s="317"/>
      <c r="BV97" s="317"/>
      <c r="BW97" s="317"/>
      <c r="BX97" s="317"/>
      <c r="BY97" s="317"/>
      <c r="BZ97" s="317"/>
      <c r="CA97" s="654"/>
    </row>
    <row r="98" spans="1:81" ht="13.5" thickBot="1">
      <c r="C98" s="136" t="s">
        <v>65</v>
      </c>
      <c r="Q98" s="49">
        <f>Q97+Q94</f>
        <v>8467446.0809148997</v>
      </c>
      <c r="R98" s="216">
        <f>R97+R94</f>
        <v>1900.8445552528351</v>
      </c>
      <c r="W98" s="52"/>
      <c r="AJ98" s="353">
        <f>AJ97+AJ94</f>
        <v>4411484.5370000005</v>
      </c>
      <c r="AK98" s="216">
        <f>AK97+AK94</f>
        <v>990.32769534122326</v>
      </c>
      <c r="AW98" s="152"/>
      <c r="BB98" s="353">
        <f>BB97+BB94</f>
        <v>355578.91908509983</v>
      </c>
      <c r="BC98" s="216">
        <f>BC97+BC94</f>
        <v>77.519015376476773</v>
      </c>
      <c r="BR98" s="317"/>
      <c r="BS98" s="317"/>
      <c r="BT98" s="317"/>
      <c r="BU98" s="317"/>
      <c r="BV98" s="317"/>
      <c r="BW98" s="317"/>
      <c r="BX98" s="317"/>
      <c r="BY98" s="317"/>
      <c r="BZ98" s="317"/>
      <c r="CA98" s="654"/>
    </row>
    <row r="99" spans="1:81">
      <c r="BR99" s="317"/>
      <c r="BS99" s="317"/>
      <c r="BT99" s="317"/>
      <c r="BU99" s="317"/>
      <c r="BV99" s="317"/>
      <c r="BW99" s="317"/>
      <c r="BX99" s="317"/>
      <c r="BY99" s="317"/>
      <c r="BZ99" s="317"/>
      <c r="CA99" s="654"/>
    </row>
    <row r="100" spans="1:81" ht="13.5" thickBot="1">
      <c r="AG100" s="215"/>
      <c r="AH100" s="215"/>
      <c r="AI100" s="215"/>
      <c r="AJ100" s="215"/>
      <c r="AT100" s="215"/>
      <c r="AU100" s="215"/>
      <c r="AV100" s="215"/>
      <c r="AW100" s="215"/>
      <c r="AY100" s="215"/>
      <c r="AZ100" s="215"/>
      <c r="BA100" s="215"/>
      <c r="BB100" s="215"/>
      <c r="BR100" s="317"/>
      <c r="BS100" s="317"/>
      <c r="BT100" s="317"/>
      <c r="BU100" s="317"/>
      <c r="BV100" s="317"/>
      <c r="BW100" s="317"/>
      <c r="BX100" s="317"/>
      <c r="BY100" s="317"/>
      <c r="BZ100" s="317"/>
      <c r="CA100" s="654"/>
    </row>
    <row r="101" spans="1:81">
      <c r="A101" s="699" t="s">
        <v>81</v>
      </c>
      <c r="B101" s="16" t="s">
        <v>3</v>
      </c>
      <c r="C101" s="148" t="s">
        <v>16</v>
      </c>
      <c r="D101" s="55"/>
      <c r="E101" s="56"/>
      <c r="F101" s="56"/>
      <c r="G101" s="149"/>
      <c r="H101" s="150"/>
      <c r="I101" s="151"/>
      <c r="J101" s="26"/>
      <c r="K101" s="26"/>
      <c r="L101" s="133"/>
      <c r="M101" s="56"/>
      <c r="N101" s="16"/>
      <c r="O101" s="18"/>
      <c r="P101" s="18"/>
      <c r="Q101" s="244"/>
      <c r="R101" s="28"/>
      <c r="S101" s="640"/>
      <c r="T101" s="55"/>
      <c r="U101" s="56"/>
      <c r="V101" s="56"/>
      <c r="W101" s="213"/>
      <c r="X101" s="197"/>
      <c r="Y101" s="197"/>
      <c r="Z101" s="197"/>
      <c r="AA101" s="290"/>
      <c r="AB101" s="26"/>
      <c r="AC101" s="26"/>
      <c r="AD101" s="26"/>
      <c r="AE101" s="26"/>
      <c r="AF101" s="566"/>
      <c r="AG101" s="20"/>
      <c r="AH101" s="21"/>
      <c r="AI101" s="21"/>
      <c r="AJ101" s="22"/>
      <c r="AK101" s="27"/>
      <c r="AL101" s="18"/>
      <c r="AM101" s="55"/>
      <c r="AN101" s="56"/>
      <c r="AO101" s="56"/>
      <c r="AP101" s="149"/>
      <c r="AQ101" s="153"/>
      <c r="AR101" s="26"/>
      <c r="AS101" s="26"/>
      <c r="AT101" s="21"/>
      <c r="AU101" s="25"/>
      <c r="AV101" s="21"/>
      <c r="AW101" s="22"/>
      <c r="AX101" s="56"/>
      <c r="AY101" s="23"/>
      <c r="AZ101" s="19"/>
      <c r="BA101" s="19"/>
      <c r="BB101" s="19"/>
      <c r="BC101" s="28"/>
      <c r="BD101" s="8"/>
      <c r="BH101" s="700" t="s">
        <v>189</v>
      </c>
      <c r="BI101" s="701"/>
      <c r="BJ101" s="701"/>
      <c r="BK101" s="701"/>
      <c r="BL101" s="702"/>
      <c r="BM101" s="700" t="s">
        <v>87</v>
      </c>
      <c r="BN101" s="702"/>
      <c r="BP101" s="8"/>
      <c r="BQ101" s="8"/>
      <c r="BR101" s="325"/>
      <c r="BS101" s="325"/>
      <c r="BT101" s="325"/>
      <c r="BU101" s="317"/>
      <c r="BV101" s="317"/>
      <c r="BW101" s="317"/>
      <c r="BX101" s="317"/>
      <c r="BY101" s="317"/>
      <c r="BZ101" s="317"/>
      <c r="CA101" s="654"/>
    </row>
    <row r="102" spans="1:81">
      <c r="A102" s="699"/>
      <c r="B102" s="23"/>
      <c r="C102" s="17" t="s">
        <v>17</v>
      </c>
      <c r="D102" s="57"/>
      <c r="E102" s="2"/>
      <c r="F102" s="2"/>
      <c r="G102" s="63"/>
      <c r="H102" s="5"/>
      <c r="I102" s="20"/>
      <c r="J102" s="21"/>
      <c r="K102" s="21"/>
      <c r="L102" s="22"/>
      <c r="M102" s="2"/>
      <c r="N102" s="23"/>
      <c r="O102" s="19"/>
      <c r="P102" s="19"/>
      <c r="Q102" s="19"/>
      <c r="R102" s="24"/>
      <c r="T102" s="57"/>
      <c r="U102" s="2"/>
      <c r="V102" s="2"/>
      <c r="W102" s="199"/>
      <c r="X102" s="198"/>
      <c r="Y102" s="198"/>
      <c r="Z102" s="198"/>
      <c r="AA102" s="272"/>
      <c r="AB102" s="21"/>
      <c r="AC102" s="21"/>
      <c r="AD102" s="21"/>
      <c r="AE102" s="21"/>
      <c r="AF102" s="355"/>
      <c r="AG102" s="20"/>
      <c r="AH102" s="21"/>
      <c r="AI102" s="21"/>
      <c r="AJ102" s="22"/>
      <c r="AK102" s="29"/>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26"/>
      <c r="BS102" s="326"/>
      <c r="BT102" s="326"/>
      <c r="BU102" s="325"/>
      <c r="BV102" s="317"/>
      <c r="BW102" s="317"/>
      <c r="BX102" s="317"/>
      <c r="BY102" s="317"/>
      <c r="BZ102" s="317"/>
      <c r="CA102" s="654"/>
    </row>
    <row r="103" spans="1:81">
      <c r="A103" s="699"/>
      <c r="B103" s="23"/>
      <c r="C103" s="17" t="s">
        <v>18</v>
      </c>
      <c r="D103" s="57"/>
      <c r="E103" s="2"/>
      <c r="F103" s="2"/>
      <c r="G103" s="63"/>
      <c r="H103" s="5"/>
      <c r="I103" s="20"/>
      <c r="J103" s="21"/>
      <c r="K103" s="21"/>
      <c r="L103" s="22"/>
      <c r="M103" s="2"/>
      <c r="N103" s="23"/>
      <c r="O103" s="19"/>
      <c r="P103" s="19"/>
      <c r="Q103" s="19"/>
      <c r="R103" s="24"/>
      <c r="T103" s="57"/>
      <c r="U103" s="2"/>
      <c r="V103" s="2"/>
      <c r="W103" s="199"/>
      <c r="X103" s="198"/>
      <c r="Y103" s="198"/>
      <c r="Z103" s="198"/>
      <c r="AA103" s="272"/>
      <c r="AB103" s="21"/>
      <c r="AC103" s="21"/>
      <c r="AD103" s="21"/>
      <c r="AE103" s="21"/>
      <c r="AF103" s="355"/>
      <c r="AG103" s="20"/>
      <c r="AH103" s="21"/>
      <c r="AI103" s="21"/>
      <c r="AJ103" s="22"/>
      <c r="AK103" s="29"/>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27"/>
      <c r="BS103" s="328"/>
      <c r="BT103" s="328"/>
      <c r="BU103" s="326"/>
      <c r="BV103" s="317"/>
      <c r="BW103" s="317"/>
      <c r="BX103" s="317"/>
      <c r="BY103" s="317"/>
      <c r="BZ103" s="317"/>
      <c r="CA103" s="654"/>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
      <c r="W104" s="199"/>
      <c r="X104" s="198"/>
      <c r="Y104" s="198"/>
      <c r="Z104" s="198"/>
      <c r="AA104" s="274"/>
      <c r="AB104" s="21"/>
      <c r="AC104" s="21"/>
      <c r="AD104" s="21"/>
      <c r="AE104" s="21"/>
      <c r="AF104" s="355"/>
      <c r="AG104" s="20"/>
      <c r="AH104" s="21"/>
      <c r="AI104" s="21"/>
      <c r="AJ104" s="22"/>
      <c r="AK104" s="29"/>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1601.7452626353529</v>
      </c>
      <c r="BI104" s="52">
        <f>O144/1000</f>
        <v>1259.8476705585083</v>
      </c>
      <c r="BJ104" s="52">
        <f>P144/1000</f>
        <v>1297.1959311819219</v>
      </c>
      <c r="BK104" s="53">
        <f>Q144/1000</f>
        <v>4158.7888643757833</v>
      </c>
      <c r="BL104" s="54">
        <f>R144/1000</f>
        <v>0.94435056608011492</v>
      </c>
      <c r="BM104" s="51">
        <f>Q145/1000</f>
        <v>9067.1258643757828</v>
      </c>
      <c r="BN104" s="54">
        <f>R145/1000</f>
        <v>2.0589036188131002</v>
      </c>
      <c r="BP104" s="30"/>
      <c r="BQ104" s="30"/>
      <c r="BR104" s="327"/>
      <c r="BS104" s="328"/>
      <c r="BT104" s="328"/>
      <c r="BU104" s="329"/>
      <c r="BV104" s="317"/>
      <c r="BW104" s="317"/>
      <c r="BX104" s="317"/>
      <c r="BY104" s="317"/>
      <c r="BZ104" s="317"/>
      <c r="CA104" s="654"/>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
      <c r="W105" s="199"/>
      <c r="X105" s="198"/>
      <c r="Y105" s="198"/>
      <c r="Z105" s="198"/>
      <c r="AA105" s="274"/>
      <c r="AB105" s="21"/>
      <c r="AC105" s="21"/>
      <c r="AD105" s="21"/>
      <c r="AE105" s="21"/>
      <c r="AF105" s="355"/>
      <c r="AG105" s="20"/>
      <c r="AH105" s="21"/>
      <c r="AI105" s="21"/>
      <c r="AJ105" s="22"/>
      <c r="AK105" s="29"/>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1165.8563418579843</v>
      </c>
      <c r="BI105" s="52">
        <f>AH144/1000</f>
        <v>1059.5115708825319</v>
      </c>
      <c r="BJ105" s="52">
        <f>AI144/1000</f>
        <v>844.89613925948345</v>
      </c>
      <c r="BK105" s="53">
        <f>AJ144/1000</f>
        <v>3070.2640519999995</v>
      </c>
      <c r="BL105" s="54">
        <f>AK144/1000</f>
        <v>0.69717547345525466</v>
      </c>
      <c r="BM105" s="51">
        <f>AJ145/1000</f>
        <v>3885.6960519999998</v>
      </c>
      <c r="BN105" s="54">
        <f>AK145/1000</f>
        <v>0.88233843697959369</v>
      </c>
      <c r="BR105" s="317"/>
      <c r="BS105" s="317"/>
      <c r="BT105" s="317"/>
      <c r="BU105" s="329"/>
      <c r="BV105" s="317"/>
      <c r="BW105" s="317"/>
      <c r="BX105" s="317"/>
      <c r="BY105" s="317"/>
      <c r="BZ105" s="317"/>
      <c r="CA105" s="654"/>
    </row>
    <row r="106" spans="1:81" s="106" customFormat="1">
      <c r="A106" s="699"/>
      <c r="B106" s="107" t="s">
        <v>67</v>
      </c>
      <c r="C106" s="108"/>
      <c r="D106" s="109"/>
      <c r="E106" s="110"/>
      <c r="F106" s="110"/>
      <c r="G106" s="111"/>
      <c r="H106" s="110"/>
      <c r="I106" s="112">
        <f>D144*'[2]Lfill en &amp; composn'!B$133</f>
        <v>84672.704158117805</v>
      </c>
      <c r="J106" s="113">
        <f>(E144-J140)*'[2]C&amp;I composn'!$D$10</f>
        <v>48314.152030983787</v>
      </c>
      <c r="K106" s="113">
        <f>(F144-K140)*'[2]Lfill en &amp; composn'!C$144</f>
        <v>607876.16330616223</v>
      </c>
      <c r="L106" s="114">
        <f>SUM(I106:K106)</f>
        <v>740863.01949526381</v>
      </c>
      <c r="M106" s="110"/>
      <c r="N106" s="112">
        <f>I106</f>
        <v>84672.704158117805</v>
      </c>
      <c r="O106" s="113">
        <f t="shared" ref="O106" si="39">J106</f>
        <v>48314.152030983787</v>
      </c>
      <c r="P106" s="113">
        <f t="shared" ref="P106" si="40">K106</f>
        <v>607876.16330616223</v>
      </c>
      <c r="Q106" s="114">
        <f>SUM(N106:P106)</f>
        <v>740863.01949526381</v>
      </c>
      <c r="R106" s="118">
        <f>Q106/[2]Popn!$E$42*1000</f>
        <v>168.23032730544446</v>
      </c>
      <c r="T106" s="109"/>
      <c r="U106" s="110"/>
      <c r="V106" s="110"/>
      <c r="W106" s="203"/>
      <c r="X106" s="130"/>
      <c r="Y106" s="130"/>
      <c r="Z106" s="130"/>
      <c r="AA106" s="276"/>
      <c r="AB106" s="113"/>
      <c r="AC106" s="113"/>
      <c r="AD106" s="113"/>
      <c r="AE106" s="113">
        <f>SUM(T144:V144)*[2]QLD!$E$101</f>
        <v>810812.56213382666</v>
      </c>
      <c r="AF106" s="567"/>
      <c r="AG106" s="112"/>
      <c r="AH106" s="113"/>
      <c r="AI106" s="113"/>
      <c r="AJ106" s="114">
        <f>AE106</f>
        <v>810812.56213382666</v>
      </c>
      <c r="AK106" s="115">
        <f>AJ106/[2]Popn!$E$42*1000</f>
        <v>184.11401179676736</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228.28973736464707</v>
      </c>
      <c r="BI106" s="52">
        <f>AZ144/1000</f>
        <v>117.7673294414917</v>
      </c>
      <c r="BJ106" s="52">
        <f>BA144/1000</f>
        <v>8.6670688180781141</v>
      </c>
      <c r="BK106" s="53">
        <f>BB144/1000</f>
        <v>354.72413562421684</v>
      </c>
      <c r="BL106" s="54">
        <f>BC144/1000</f>
        <v>7.8134645051366428E-2</v>
      </c>
      <c r="BM106" s="51">
        <f>BB145/1000</f>
        <v>354.72413562421684</v>
      </c>
      <c r="BN106" s="54">
        <f>BC145/1000</f>
        <v>7.8134645051366428E-2</v>
      </c>
      <c r="BO106" s="6"/>
      <c r="BR106" s="314"/>
      <c r="BS106" s="314"/>
      <c r="BT106" s="314"/>
      <c r="BU106" s="317"/>
      <c r="BV106" s="317"/>
      <c r="BW106" s="317"/>
      <c r="BX106" s="317"/>
      <c r="BY106" s="317"/>
      <c r="BZ106" s="317"/>
      <c r="CA106" s="654"/>
      <c r="CB106" s="6"/>
      <c r="CC106" s="6"/>
    </row>
    <row r="107" spans="1:81">
      <c r="A107" s="699"/>
      <c r="B107" s="23" t="s">
        <v>4</v>
      </c>
      <c r="C107" s="17" t="s">
        <v>19</v>
      </c>
      <c r="D107" s="57"/>
      <c r="E107" s="2"/>
      <c r="F107" s="2"/>
      <c r="G107" s="63"/>
      <c r="H107" s="2"/>
      <c r="I107" s="20"/>
      <c r="J107" s="21">
        <f>(E144-J140)*'[2]C&amp;I composn'!$D$11</f>
        <v>32111.420136313754</v>
      </c>
      <c r="K107" s="21"/>
      <c r="L107" s="22"/>
      <c r="M107" s="2"/>
      <c r="N107" s="23"/>
      <c r="O107" s="19"/>
      <c r="P107" s="19"/>
      <c r="Q107" s="19"/>
      <c r="R107" s="305"/>
      <c r="T107" s="57"/>
      <c r="U107" s="2"/>
      <c r="V107" s="2"/>
      <c r="W107" s="199"/>
      <c r="X107" s="198"/>
      <c r="Y107" s="198"/>
      <c r="Z107" s="198"/>
      <c r="AA107" s="274"/>
      <c r="AB107" s="21"/>
      <c r="AC107" s="21"/>
      <c r="AD107" s="21"/>
      <c r="AE107" s="21"/>
      <c r="AF107" s="355"/>
      <c r="AG107" s="20"/>
      <c r="AH107" s="21"/>
      <c r="AI107" s="21"/>
      <c r="AJ107" s="22"/>
      <c r="AK107" s="29"/>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41">SUM(BH105:BH106)/BH108</f>
        <v>0.46535268477327796</v>
      </c>
      <c r="BI107" s="86">
        <f t="shared" si="41"/>
        <v>0.4830602211594236</v>
      </c>
      <c r="BJ107" s="86">
        <f t="shared" si="41"/>
        <v>0.39686601465352717</v>
      </c>
      <c r="BK107" s="87">
        <f t="shared" si="41"/>
        <v>0.4516203686026049</v>
      </c>
      <c r="BL107" s="87">
        <f t="shared" si="41"/>
        <v>0.45085063899855427</v>
      </c>
      <c r="BM107" s="88">
        <f t="shared" si="41"/>
        <v>0.31864779359429091</v>
      </c>
      <c r="BN107" s="87">
        <f t="shared" si="41"/>
        <v>0.31810309782229623</v>
      </c>
      <c r="BR107" s="317"/>
      <c r="BS107" s="317"/>
      <c r="BT107" s="317"/>
      <c r="BU107" s="314"/>
      <c r="BV107" s="314"/>
      <c r="BW107" s="314"/>
      <c r="BX107" s="314"/>
      <c r="BY107" s="314"/>
      <c r="BZ107" s="314"/>
      <c r="CA107" s="653"/>
    </row>
    <row r="108" spans="1:81">
      <c r="A108" s="699"/>
      <c r="B108" s="23"/>
      <c r="C108" s="17" t="s">
        <v>20</v>
      </c>
      <c r="D108" s="57"/>
      <c r="E108" s="2"/>
      <c r="F108" s="2"/>
      <c r="G108" s="63"/>
      <c r="H108" s="2"/>
      <c r="I108" s="20"/>
      <c r="J108" s="21">
        <f>(E144-J140)*'[2]C&amp;I composn'!$D$12</f>
        <v>4172.493092851274</v>
      </c>
      <c r="K108" s="21"/>
      <c r="L108" s="22"/>
      <c r="M108" s="2"/>
      <c r="N108" s="23"/>
      <c r="O108" s="19"/>
      <c r="P108" s="19"/>
      <c r="Q108" s="19"/>
      <c r="R108" s="305"/>
      <c r="T108" s="57"/>
      <c r="U108" s="2"/>
      <c r="V108" s="2"/>
      <c r="W108" s="199"/>
      <c r="X108" s="198"/>
      <c r="Y108" s="198"/>
      <c r="Z108" s="198"/>
      <c r="AA108" s="274"/>
      <c r="AB108" s="21"/>
      <c r="AC108" s="21"/>
      <c r="AD108" s="21"/>
      <c r="AE108" s="21"/>
      <c r="AF108" s="355"/>
      <c r="AG108" s="20"/>
      <c r="AH108" s="21"/>
      <c r="AI108" s="21"/>
      <c r="AJ108" s="22"/>
      <c r="AK108" s="29"/>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42">SUM(BH104:BH106)</f>
        <v>2995.8913418579841</v>
      </c>
      <c r="BI108" s="52">
        <f t="shared" si="42"/>
        <v>2437.1265708825322</v>
      </c>
      <c r="BJ108" s="52">
        <f t="shared" si="42"/>
        <v>2150.7591392594832</v>
      </c>
      <c r="BK108" s="74">
        <f t="shared" si="42"/>
        <v>7583.7770519999995</v>
      </c>
      <c r="BL108" s="76">
        <f t="shared" si="42"/>
        <v>1.7196606845867359</v>
      </c>
      <c r="BM108" s="81">
        <f t="shared" si="42"/>
        <v>13307.546052</v>
      </c>
      <c r="BN108" s="76">
        <f t="shared" si="42"/>
        <v>3.0193767008440604</v>
      </c>
      <c r="BR108" s="317"/>
      <c r="BS108" s="317"/>
      <c r="BT108" s="317"/>
      <c r="BU108" s="317"/>
      <c r="BV108" s="317"/>
      <c r="BW108" s="317"/>
      <c r="BX108" s="317"/>
      <c r="BY108" s="317"/>
      <c r="BZ108" s="317"/>
      <c r="CA108" s="654"/>
    </row>
    <row r="109" spans="1:81">
      <c r="A109" s="699"/>
      <c r="B109" s="23"/>
      <c r="C109" s="17" t="s">
        <v>21</v>
      </c>
      <c r="D109" s="57"/>
      <c r="E109" s="2"/>
      <c r="F109" s="2"/>
      <c r="G109" s="63"/>
      <c r="H109" s="2"/>
      <c r="I109" s="20"/>
      <c r="J109" s="21">
        <f>(E144-J140)*'[2]C&amp;I composn'!$D$13</f>
        <v>7.047684119172378</v>
      </c>
      <c r="K109" s="21"/>
      <c r="L109" s="22"/>
      <c r="M109" s="2"/>
      <c r="N109" s="23"/>
      <c r="O109" s="19"/>
      <c r="P109" s="19"/>
      <c r="Q109" s="19"/>
      <c r="R109" s="305"/>
      <c r="T109" s="57"/>
      <c r="U109" s="2"/>
      <c r="V109" s="2"/>
      <c r="W109" s="199"/>
      <c r="X109" s="198"/>
      <c r="Y109" s="198"/>
      <c r="Z109" s="198"/>
      <c r="AA109" s="274"/>
      <c r="AB109" s="21"/>
      <c r="AC109" s="21"/>
      <c r="AD109" s="21"/>
      <c r="AE109" s="21"/>
      <c r="AF109" s="355"/>
      <c r="AG109" s="20"/>
      <c r="AH109" s="21"/>
      <c r="AI109" s="21"/>
      <c r="AJ109" s="22"/>
      <c r="AK109" s="29"/>
      <c r="AL109" s="19"/>
      <c r="AM109" s="57"/>
      <c r="AN109" s="2"/>
      <c r="AO109" s="2"/>
      <c r="AP109" s="63"/>
      <c r="AQ109" s="68"/>
      <c r="AR109" s="21"/>
      <c r="AS109" s="21"/>
      <c r="AT109" s="21"/>
      <c r="AU109" s="25"/>
      <c r="AV109" s="21"/>
      <c r="AW109" s="22"/>
      <c r="AX109" s="2"/>
      <c r="AY109" s="23"/>
      <c r="AZ109" s="19"/>
      <c r="BA109" s="19"/>
      <c r="BB109" s="19"/>
      <c r="BC109" s="24"/>
      <c r="BD109" s="30"/>
      <c r="BR109" s="317"/>
      <c r="BS109" s="317"/>
      <c r="BT109" s="317"/>
      <c r="BU109" s="317"/>
      <c r="BV109" s="317"/>
      <c r="BW109" s="317"/>
      <c r="BX109" s="317"/>
      <c r="BY109" s="317"/>
      <c r="BZ109" s="317"/>
      <c r="CA109" s="654"/>
    </row>
    <row r="110" spans="1:81" s="106" customFormat="1">
      <c r="A110" s="699"/>
      <c r="B110" s="107" t="s">
        <v>67</v>
      </c>
      <c r="C110" s="108"/>
      <c r="D110" s="109"/>
      <c r="E110" s="110"/>
      <c r="F110" s="110"/>
      <c r="G110" s="111"/>
      <c r="H110" s="110"/>
      <c r="I110" s="112">
        <f>D144*'[2]Lfill en &amp; composn'!B$134</f>
        <v>59014.231897099198</v>
      </c>
      <c r="J110" s="113">
        <f>SUM(J107:J109)</f>
        <v>36290.960913284202</v>
      </c>
      <c r="K110" s="113">
        <f>(F144-K140)*'[2]Lfill en &amp; composn'!C$145</f>
        <v>37749.584901145958</v>
      </c>
      <c r="L110" s="114">
        <f>SUM(I110:K110)</f>
        <v>133054.77771152934</v>
      </c>
      <c r="M110" s="110"/>
      <c r="N110" s="112">
        <f>I110</f>
        <v>59014.231897099198</v>
      </c>
      <c r="O110" s="113">
        <f t="shared" ref="O110" si="43">J110</f>
        <v>36290.960913284202</v>
      </c>
      <c r="P110" s="113">
        <f t="shared" ref="P110" si="44">K110</f>
        <v>37749.584901145958</v>
      </c>
      <c r="Q110" s="114">
        <f>SUM(N110:P110)</f>
        <v>133054.77771152934</v>
      </c>
      <c r="R110" s="118">
        <f>Q110/[2]Popn!$E$42*1000</f>
        <v>30.213208400135073</v>
      </c>
      <c r="T110" s="109"/>
      <c r="U110" s="110"/>
      <c r="V110" s="110"/>
      <c r="W110" s="203"/>
      <c r="X110" s="130"/>
      <c r="Y110" s="130"/>
      <c r="Z110" s="130"/>
      <c r="AA110" s="276"/>
      <c r="AB110" s="113"/>
      <c r="AC110" s="113"/>
      <c r="AD110" s="113"/>
      <c r="AE110" s="113">
        <f>SUM(T144:V144)*[2]QLD!$E$102</f>
        <v>635350.48514749715</v>
      </c>
      <c r="AF110" s="567"/>
      <c r="AG110" s="112"/>
      <c r="AH110" s="113"/>
      <c r="AI110" s="113"/>
      <c r="AJ110" s="114">
        <f>AE110</f>
        <v>635350.48514749715</v>
      </c>
      <c r="AK110" s="115">
        <f>AJ110/[2]Popn!$E$42*1000</f>
        <v>144.27123133080025</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c r="BR110" s="314"/>
      <c r="BS110" s="314"/>
      <c r="BT110" s="314"/>
      <c r="BU110" s="317"/>
      <c r="BV110" s="317"/>
      <c r="BW110" s="317"/>
      <c r="BX110" s="317"/>
      <c r="BY110" s="317"/>
      <c r="BZ110" s="317"/>
      <c r="CA110" s="654"/>
      <c r="CB110" s="6"/>
      <c r="CC110" s="6"/>
    </row>
    <row r="111" spans="1:81">
      <c r="A111" s="699"/>
      <c r="B111" s="23" t="s">
        <v>2</v>
      </c>
      <c r="C111" s="17" t="s">
        <v>22</v>
      </c>
      <c r="D111" s="57"/>
      <c r="E111" s="2"/>
      <c r="F111" s="2"/>
      <c r="G111" s="63"/>
      <c r="H111" s="2"/>
      <c r="I111" s="20"/>
      <c r="J111" s="21">
        <f>(E144-J140)*'[2]C&amp;I composn'!$D$14</f>
        <v>302939.87711977493</v>
      </c>
      <c r="K111" s="21"/>
      <c r="L111" s="22"/>
      <c r="M111" s="2"/>
      <c r="N111" s="20"/>
      <c r="O111" s="21"/>
      <c r="P111" s="21"/>
      <c r="Q111" s="21"/>
      <c r="R111" s="29"/>
      <c r="T111" s="57"/>
      <c r="U111" s="2"/>
      <c r="V111" s="2"/>
      <c r="W111" s="199"/>
      <c r="X111" s="198"/>
      <c r="Y111" s="198"/>
      <c r="Z111" s="198"/>
      <c r="AA111" s="274"/>
      <c r="AB111" s="21"/>
      <c r="AC111" s="21"/>
      <c r="AD111" s="21"/>
      <c r="AE111" s="21"/>
      <c r="AF111" s="355"/>
      <c r="AG111" s="20"/>
      <c r="AH111" s="21"/>
      <c r="AI111" s="21"/>
      <c r="AJ111" s="22"/>
      <c r="AK111" s="29"/>
      <c r="AL111" s="19"/>
      <c r="AM111" s="57"/>
      <c r="AN111" s="2"/>
      <c r="AO111" s="2"/>
      <c r="AP111" s="63"/>
      <c r="AQ111" s="70"/>
      <c r="AR111" s="21">
        <f>L116*'[2]Lfill en &amp; composn'!$E$82/SUM('[2]Lfill en &amp; composn'!$E$82,'[2]Lfill en &amp; composn'!$E$84:$E$85,'[2]Lfill en &amp; composn'!$E$87:$E$88)*'[2]Lfill en &amp; composn'!$D$16</f>
        <v>105776.0700167786</v>
      </c>
      <c r="AS111" s="35">
        <f>AR111/SUM($AR$101:$AR$143)</f>
        <v>0.36050501536457596</v>
      </c>
      <c r="AT111" s="21">
        <f>AS111*'[2]Lfill en &amp; composn'!$E$63/'[2]Lfill en &amp; composn'!$B$16</f>
        <v>85238.680156475908</v>
      </c>
      <c r="AU111" s="25"/>
      <c r="AV111" s="21"/>
      <c r="AW111" s="22"/>
      <c r="AX111" s="82"/>
      <c r="AY111" s="20"/>
      <c r="AZ111" s="21"/>
      <c r="BA111" s="21"/>
      <c r="BB111" s="21"/>
      <c r="BC111" s="29"/>
      <c r="BD111" s="30"/>
      <c r="BR111" s="317"/>
      <c r="BS111" s="317"/>
      <c r="BT111" s="317"/>
      <c r="BU111" s="316" t="s">
        <v>108</v>
      </c>
      <c r="BV111" s="314"/>
      <c r="BW111" s="314"/>
      <c r="BX111" s="314"/>
      <c r="BY111" s="314"/>
      <c r="BZ111" s="314"/>
      <c r="CA111" s="653"/>
    </row>
    <row r="112" spans="1:81" ht="38.25">
      <c r="A112" s="699"/>
      <c r="B112" s="23"/>
      <c r="C112" s="17" t="s">
        <v>23</v>
      </c>
      <c r="D112" s="57"/>
      <c r="E112" s="2"/>
      <c r="F112" s="2"/>
      <c r="G112" s="63"/>
      <c r="H112" s="2"/>
      <c r="I112" s="20"/>
      <c r="J112" s="21">
        <f>(E144-J140)*'[2]C&amp;I composn'!$D$15</f>
        <v>11226.322576167593</v>
      </c>
      <c r="K112" s="21"/>
      <c r="L112" s="22"/>
      <c r="M112" s="2"/>
      <c r="N112" s="20"/>
      <c r="O112" s="21"/>
      <c r="P112" s="21"/>
      <c r="Q112" s="21"/>
      <c r="R112" s="29"/>
      <c r="T112" s="201">
        <f>[2]QLD!$I$16</f>
        <v>809715</v>
      </c>
      <c r="U112" s="2"/>
      <c r="V112" s="2"/>
      <c r="W112" s="199"/>
      <c r="X112" s="198"/>
      <c r="Y112" s="198"/>
      <c r="Z112" s="198"/>
      <c r="AA112" s="274"/>
      <c r="AB112" s="21"/>
      <c r="AC112" s="21"/>
      <c r="AD112" s="21"/>
      <c r="AE112" s="21"/>
      <c r="AF112" s="355"/>
      <c r="AG112" s="20">
        <f>T112</f>
        <v>809715</v>
      </c>
      <c r="AH112" s="21"/>
      <c r="AI112" s="21"/>
      <c r="AJ112" s="22">
        <f>AG112</f>
        <v>809715</v>
      </c>
      <c r="AK112" s="29">
        <f>AJ112/[2]Popn!$E$42*1000</f>
        <v>183.86478456831489</v>
      </c>
      <c r="AL112" s="19"/>
      <c r="AM112" s="57"/>
      <c r="AN112" s="2"/>
      <c r="AO112" s="2"/>
      <c r="AP112" s="63"/>
      <c r="AQ112" s="70">
        <f>[2]Bioenergy!$F$84</f>
        <v>139000</v>
      </c>
      <c r="AR112" s="21">
        <f>L116*'[2]Lfill en &amp; composn'!$E$84/SUM('[2]Lfill en &amp; composn'!$E$82,'[2]Lfill en &amp; composn'!$E$84:$E$85,'[2]Lfill en &amp; composn'!$E$87:$E$88)*'[2]Lfill en &amp; composn'!$D$18</f>
        <v>37205.885233581961</v>
      </c>
      <c r="AS112" s="35">
        <f t="shared" ref="AS112:AS115" si="45">AR112/SUM($AR$101:$AR$143)</f>
        <v>0.12680475107136718</v>
      </c>
      <c r="AT112" s="21">
        <f>AS112*'[2]Lfill en &amp; composn'!$E$63/'[2]Lfill en &amp; composn'!$B$18</f>
        <v>22486.517159746902</v>
      </c>
      <c r="AU112" s="25"/>
      <c r="AV112" s="21"/>
      <c r="AW112" s="22"/>
      <c r="AX112" s="2"/>
      <c r="AY112" s="20">
        <f>AQ112</f>
        <v>139000</v>
      </c>
      <c r="AZ112" s="21"/>
      <c r="BA112" s="21"/>
      <c r="BB112" s="21"/>
      <c r="BC112" s="29"/>
      <c r="BD112" s="36"/>
      <c r="BR112" s="317"/>
      <c r="BS112" s="317"/>
      <c r="BT112" s="317"/>
      <c r="BU112" s="317"/>
      <c r="BV112" s="318" t="s">
        <v>101</v>
      </c>
      <c r="BW112" s="319" t="s">
        <v>102</v>
      </c>
      <c r="BX112" s="318" t="s">
        <v>103</v>
      </c>
      <c r="BY112" s="318" t="s">
        <v>181</v>
      </c>
      <c r="BZ112" s="574" t="s">
        <v>192</v>
      </c>
      <c r="CA112" s="655" t="s">
        <v>258</v>
      </c>
    </row>
    <row r="113" spans="1:81">
      <c r="A113" s="699"/>
      <c r="B113" s="23"/>
      <c r="C113" s="17" t="s">
        <v>24</v>
      </c>
      <c r="D113" s="57"/>
      <c r="E113" s="2"/>
      <c r="F113" s="2"/>
      <c r="G113" s="63"/>
      <c r="H113" s="2"/>
      <c r="I113" s="20"/>
      <c r="J113" s="21">
        <f>(E144-J140)*'[2]C&amp;I composn'!$D$16</f>
        <v>100609.16133804554</v>
      </c>
      <c r="K113" s="21"/>
      <c r="L113" s="22"/>
      <c r="M113" s="2"/>
      <c r="N113" s="20"/>
      <c r="O113" s="21"/>
      <c r="P113" s="21"/>
      <c r="Q113" s="21"/>
      <c r="R113" s="29"/>
      <c r="T113" s="57"/>
      <c r="U113" s="2"/>
      <c r="V113" s="2"/>
      <c r="W113" s="199"/>
      <c r="X113" s="198"/>
      <c r="Y113" s="198"/>
      <c r="Z113" s="198"/>
      <c r="AA113" s="274"/>
      <c r="AB113" s="21"/>
      <c r="AC113" s="21"/>
      <c r="AD113" s="21"/>
      <c r="AE113" s="21"/>
      <c r="AF113" s="355"/>
      <c r="AG113" s="20"/>
      <c r="AH113" s="21"/>
      <c r="AI113" s="21"/>
      <c r="AJ113" s="22"/>
      <c r="AK113" s="29"/>
      <c r="AL113" s="19"/>
      <c r="AM113" s="57"/>
      <c r="AN113" s="2"/>
      <c r="AO113" s="2"/>
      <c r="AP113" s="63"/>
      <c r="AQ113" s="70">
        <f>[2]Bioenergy!$F$106</f>
        <v>49000</v>
      </c>
      <c r="AR113" s="21">
        <f>L116*'[2]Lfill en &amp; composn'!$E$85/SUM('[2]Lfill en &amp; composn'!$E$82,'[2]Lfill en &amp; composn'!$E$84:$E$85,'[2]Lfill en &amp; composn'!$E$87:$E$88)*'[2]Lfill en &amp; composn'!$D$19</f>
        <v>21882.7742733124</v>
      </c>
      <c r="AS113" s="35">
        <f t="shared" si="45"/>
        <v>7.4580667199761488E-2</v>
      </c>
      <c r="AT113" s="21">
        <f>AS113*'[2]Lfill en &amp; composn'!$E$63/'[2]Lfill en &amp; composn'!$B$19</f>
        <v>6151.407150458117</v>
      </c>
      <c r="AU113" s="25"/>
      <c r="AV113" s="21"/>
      <c r="AW113" s="22"/>
      <c r="AX113" s="2"/>
      <c r="AY113" s="20"/>
      <c r="AZ113" s="21">
        <f>AQ113</f>
        <v>49000</v>
      </c>
      <c r="BA113" s="21"/>
      <c r="BB113" s="21"/>
      <c r="BC113" s="29"/>
      <c r="BR113" s="317"/>
      <c r="BS113" s="317"/>
      <c r="BT113" s="317"/>
      <c r="BU113" s="320" t="s">
        <v>72</v>
      </c>
      <c r="BV113" s="331">
        <f>BK151</f>
        <v>4266.7255465599583</v>
      </c>
      <c r="BW113" s="331">
        <f>BK104</f>
        <v>4158.7888643757833</v>
      </c>
      <c r="BX113" s="331">
        <f>BK57</f>
        <v>3579.0600809148996</v>
      </c>
      <c r="BY113" s="331">
        <f>BK10</f>
        <v>4015.2372079475304</v>
      </c>
      <c r="BZ113" s="553">
        <f>(BY113-BV113)/BV113</f>
        <v>-5.8941765967391563E-2</v>
      </c>
      <c r="CA113" s="594">
        <f>(BY113/BV113)^(1/3)-1</f>
        <v>-2.0046429371445851E-2</v>
      </c>
    </row>
    <row r="114" spans="1:81">
      <c r="A114" s="699"/>
      <c r="B114" s="23"/>
      <c r="C114" s="17" t="s">
        <v>25</v>
      </c>
      <c r="D114" s="57"/>
      <c r="E114" s="2"/>
      <c r="F114" s="2"/>
      <c r="G114" s="63"/>
      <c r="H114" s="2"/>
      <c r="I114" s="20"/>
      <c r="J114" s="21">
        <f>(E144-J140)*'[2]C&amp;I composn'!$D$17</f>
        <v>88838.572629733535</v>
      </c>
      <c r="K114" s="21"/>
      <c r="L114" s="22"/>
      <c r="M114" s="2"/>
      <c r="N114" s="20"/>
      <c r="O114" s="21"/>
      <c r="P114" s="21"/>
      <c r="Q114" s="21"/>
      <c r="R114" s="29"/>
      <c r="T114" s="57"/>
      <c r="U114" s="2"/>
      <c r="V114" s="2"/>
      <c r="W114" s="199"/>
      <c r="X114" s="198"/>
      <c r="Y114" s="198"/>
      <c r="Z114" s="198"/>
      <c r="AA114" s="274"/>
      <c r="AB114" s="21"/>
      <c r="AC114" s="21"/>
      <c r="AD114" s="21"/>
      <c r="AE114" s="21"/>
      <c r="AF114" s="355"/>
      <c r="AG114" s="20"/>
      <c r="AH114" s="21"/>
      <c r="AI114" s="21"/>
      <c r="AJ114" s="22"/>
      <c r="AK114" s="29"/>
      <c r="AL114" s="19"/>
      <c r="AM114" s="57"/>
      <c r="AN114" s="2"/>
      <c r="AO114" s="2"/>
      <c r="AP114" s="63"/>
      <c r="AQ114" s="68"/>
      <c r="AR114" s="21">
        <f>L116*'[2]Lfill en &amp; composn'!$E$93/SUM('[2]Lfill en &amp; composn'!$E$82,'[2]Lfill en &amp; composn'!$E$84:$E$85,'[2]Lfill en &amp; composn'!$E$87:$E$88)*'[2]Lfill en &amp; composn'!$D$24</f>
        <v>9594.2013620660855</v>
      </c>
      <c r="AS114" s="35">
        <f t="shared" si="45"/>
        <v>3.2698867606764263E-2</v>
      </c>
      <c r="AT114" s="21">
        <f>AS114*'[2]Lfill en &amp; composn'!$E$63/'[2]Lfill en &amp; composn'!$B$24</f>
        <v>4832.1247254238051</v>
      </c>
      <c r="AU114" s="25"/>
      <c r="AV114" s="21"/>
      <c r="AW114" s="22"/>
      <c r="AX114" s="83"/>
      <c r="AY114" s="20"/>
      <c r="AZ114" s="21"/>
      <c r="BA114" s="21"/>
      <c r="BB114" s="21"/>
      <c r="BC114" s="29"/>
      <c r="BR114" s="317"/>
      <c r="BS114" s="317"/>
      <c r="BT114" s="317"/>
      <c r="BU114" s="323" t="s">
        <v>68</v>
      </c>
      <c r="BV114" s="333">
        <f>BK152</f>
        <v>3498.259</v>
      </c>
      <c r="BW114" s="333">
        <f>BK105</f>
        <v>3070.2640519999995</v>
      </c>
      <c r="BX114" s="333">
        <f>BK58</f>
        <v>3573.6625370000002</v>
      </c>
      <c r="BY114" s="333">
        <f>BK11</f>
        <v>2928.3780000000002</v>
      </c>
      <c r="BZ114" s="328">
        <f t="shared" ref="BZ114:BZ116" si="46">(BY114-BV114)/BV114</f>
        <v>-0.16290417604871449</v>
      </c>
      <c r="CA114" s="593">
        <f>(BY114/BV114)^(1/3)-1</f>
        <v>-5.754984155618692E-2</v>
      </c>
    </row>
    <row r="115" spans="1:81">
      <c r="A115" s="699"/>
      <c r="B115" s="23"/>
      <c r="C115" s="17" t="s">
        <v>0</v>
      </c>
      <c r="D115" s="57"/>
      <c r="E115" s="2"/>
      <c r="F115" s="2"/>
      <c r="G115" s="199">
        <f>[2]QLD!$D$22</f>
        <v>51251</v>
      </c>
      <c r="H115" s="198"/>
      <c r="I115" s="306">
        <f>G115</f>
        <v>51251</v>
      </c>
      <c r="J115" s="113"/>
      <c r="K115" s="21"/>
      <c r="L115" s="22"/>
      <c r="M115" s="68" t="s">
        <v>193</v>
      </c>
      <c r="N115" s="20"/>
      <c r="O115" s="19"/>
      <c r="P115" s="19"/>
      <c r="Q115" s="19"/>
      <c r="R115" s="29"/>
      <c r="T115" s="57"/>
      <c r="U115" s="2"/>
      <c r="V115" s="2"/>
      <c r="W115" s="199"/>
      <c r="X115" s="198"/>
      <c r="Y115" s="198"/>
      <c r="Z115" s="198"/>
      <c r="AA115" s="278">
        <f>[2]QLD!$I$22</f>
        <v>973852</v>
      </c>
      <c r="AB115" s="21"/>
      <c r="AC115" s="21"/>
      <c r="AD115" s="21"/>
      <c r="AE115" s="21"/>
      <c r="AF115" s="570" t="s">
        <v>193</v>
      </c>
      <c r="AG115" s="20">
        <f>AA115</f>
        <v>973852</v>
      </c>
      <c r="AH115" s="21"/>
      <c r="AI115" s="21"/>
      <c r="AJ115" s="22">
        <f>AG115</f>
        <v>973852</v>
      </c>
      <c r="AK115" s="29">
        <f>AJ115/[2]Popn!$E$42*1000</f>
        <v>221.13594064753968</v>
      </c>
      <c r="AL115" s="19"/>
      <c r="AM115" s="57"/>
      <c r="AN115" s="2"/>
      <c r="AO115" s="2"/>
      <c r="AP115" s="63"/>
      <c r="AQ115" s="68"/>
      <c r="AR115" s="21">
        <f>L116*'[2]Lfill en &amp; composn'!$E$87/SUM('[2]Lfill en &amp; composn'!$E$82,'[2]Lfill en &amp; composn'!$E$84:$E$85,'[2]Lfill en &amp; composn'!$E$87:$E$88)*'[2]Lfill en &amp; composn'!$D$21</f>
        <v>244.03855208743681</v>
      </c>
      <c r="AS115" s="35">
        <f t="shared" si="45"/>
        <v>8.3172991732321903E-4</v>
      </c>
      <c r="AT115" s="21">
        <f>AS115*'[2]Lfill en &amp; composn'!$E$63/'[2]Lfill en &amp; composn'!$B$21</f>
        <v>589.96871647616217</v>
      </c>
      <c r="AU115" s="25"/>
      <c r="AV115" s="21"/>
      <c r="AW115" s="22"/>
      <c r="AX115" s="2"/>
      <c r="AY115" s="23"/>
      <c r="AZ115" s="19"/>
      <c r="BA115" s="19"/>
      <c r="BB115" s="21"/>
      <c r="BC115" s="24"/>
      <c r="BR115" s="317"/>
      <c r="BS115" s="317"/>
      <c r="BT115" s="314"/>
      <c r="BU115" s="323" t="s">
        <v>69</v>
      </c>
      <c r="BV115" s="333">
        <f>BK153</f>
        <v>334.23245344004096</v>
      </c>
      <c r="BW115" s="333">
        <f>BK106</f>
        <v>354.72413562421684</v>
      </c>
      <c r="BX115" s="333">
        <f>BK59</f>
        <v>355.57891908509981</v>
      </c>
      <c r="BY115" s="333">
        <f>BK12</f>
        <v>356.97279205246969</v>
      </c>
      <c r="BZ115" s="328">
        <f t="shared" si="46"/>
        <v>6.8037494200150109E-2</v>
      </c>
      <c r="CA115" s="593">
        <f t="shared" ref="CA115:CA116" si="47">(BY115/BV115)^(1/3)-1</f>
        <v>2.2183421684124793E-2</v>
      </c>
    </row>
    <row r="116" spans="1:81" s="106" customFormat="1">
      <c r="A116" s="699"/>
      <c r="B116" s="107" t="s">
        <v>67</v>
      </c>
      <c r="C116" s="108"/>
      <c r="D116" s="109"/>
      <c r="E116" s="110"/>
      <c r="F116" s="110"/>
      <c r="G116" s="111"/>
      <c r="H116" s="110"/>
      <c r="I116" s="112">
        <f>D144*'[2]Lfill en &amp; composn'!B$135</f>
        <v>955434.77500000014</v>
      </c>
      <c r="J116" s="113">
        <f>SUM(J111:J115)</f>
        <v>503613.9336637216</v>
      </c>
      <c r="K116" s="113">
        <f>(F144-K140)*'[2]Lfill en &amp; composn'!C$146</f>
        <v>87226.040896008402</v>
      </c>
      <c r="L116" s="114">
        <f>SUM(I116:K116)</f>
        <v>1546274.7495597303</v>
      </c>
      <c r="M116" s="110"/>
      <c r="N116" s="112">
        <f>I116-AU116</f>
        <v>881720.75708272378</v>
      </c>
      <c r="O116" s="113">
        <f t="shared" ref="O116" si="48">J116-AV116</f>
        <v>464758.9458604175</v>
      </c>
      <c r="P116" s="113">
        <f t="shared" ref="P116" si="49">K116-AW116</f>
        <v>80496.348708007979</v>
      </c>
      <c r="Q116" s="114">
        <f>SUM(N116:P116)</f>
        <v>1426976.0516511493</v>
      </c>
      <c r="R116" s="118">
        <f>Q116/[2]Popn!$E$42*1000</f>
        <v>324.02838569247592</v>
      </c>
      <c r="T116" s="109"/>
      <c r="U116" s="110"/>
      <c r="V116" s="110"/>
      <c r="W116" s="203"/>
      <c r="X116" s="130"/>
      <c r="Y116" s="130"/>
      <c r="Z116" s="130"/>
      <c r="AA116" s="285">
        <f>-SUM([2]ROU!$O$20:$O$29)</f>
        <v>-230454</v>
      </c>
      <c r="AB116" s="113"/>
      <c r="AC116" s="113"/>
      <c r="AD116" s="113"/>
      <c r="AE116" s="113">
        <f>SUM(T144:V144)*[2]QLD!$E$103</f>
        <v>1147252.0418336929</v>
      </c>
      <c r="AF116" s="554" t="s">
        <v>198</v>
      </c>
      <c r="AG116" s="112"/>
      <c r="AH116" s="113"/>
      <c r="AI116" s="113"/>
      <c r="AJ116" s="114">
        <f>SUM(AA116:AE116)</f>
        <v>916798.04183369293</v>
      </c>
      <c r="AK116" s="115">
        <f>AJ116/[2]Popn!$E$42*1000</f>
        <v>208.18050110767973</v>
      </c>
      <c r="AL116" s="119"/>
      <c r="AM116" s="109"/>
      <c r="AN116" s="110"/>
      <c r="AO116" s="110"/>
      <c r="AP116" s="111"/>
      <c r="AQ116" s="116"/>
      <c r="AR116" s="113"/>
      <c r="AS116" s="113"/>
      <c r="AT116" s="113">
        <f>SUM(AT111:AT115)</f>
        <v>119298.6979085809</v>
      </c>
      <c r="AU116" s="120">
        <f>$AT116*I116/SUM($I116:$K116)</f>
        <v>73714.01791727636</v>
      </c>
      <c r="AV116" s="113">
        <f>$AT116*J116/SUM($I116:$K116)</f>
        <v>38854.987803304102</v>
      </c>
      <c r="AW116" s="114">
        <f>$AT116*K116/SUM($I116:$K116)</f>
        <v>6729.6921880004247</v>
      </c>
      <c r="AX116" s="110"/>
      <c r="AY116" s="241">
        <f>AU116+AY112</f>
        <v>212714.01791727636</v>
      </c>
      <c r="AZ116" s="242">
        <f>AV116+AZ113</f>
        <v>87854.987803304102</v>
      </c>
      <c r="BA116" s="242">
        <f>AW116</f>
        <v>6729.6921880004247</v>
      </c>
      <c r="BB116" s="243">
        <f>SUM(AY116:BA116)</f>
        <v>307298.69790858089</v>
      </c>
      <c r="BC116" s="118">
        <f>BB116/[2]Popn!$E$42*1000</f>
        <v>69.779377792291001</v>
      </c>
      <c r="BD116" s="122"/>
      <c r="BG116" s="146"/>
      <c r="BH116" s="138" t="s">
        <v>72</v>
      </c>
      <c r="BI116" s="138" t="s">
        <v>68</v>
      </c>
      <c r="BJ116" s="138" t="s">
        <v>69</v>
      </c>
      <c r="BK116" s="138" t="s">
        <v>73</v>
      </c>
      <c r="BL116" s="138" t="s">
        <v>78</v>
      </c>
      <c r="BM116" s="6"/>
      <c r="BN116" s="6"/>
      <c r="BO116" s="6"/>
      <c r="BR116" s="314"/>
      <c r="BS116" s="314"/>
      <c r="BT116" s="314"/>
      <c r="BU116" s="576" t="s">
        <v>191</v>
      </c>
      <c r="BV116" s="577">
        <f>SUM(BV113:BV115)</f>
        <v>8099.2169999999996</v>
      </c>
      <c r="BW116" s="579">
        <f t="shared" ref="BW116:BY116" si="50">SUM(BW113:BW115)</f>
        <v>7583.7770519999995</v>
      </c>
      <c r="BX116" s="579">
        <f t="shared" si="50"/>
        <v>7508.3015370000003</v>
      </c>
      <c r="BY116" s="579">
        <f t="shared" si="50"/>
        <v>7300.5879999999997</v>
      </c>
      <c r="BZ116" s="580">
        <f t="shared" si="46"/>
        <v>-9.8605704724296181E-2</v>
      </c>
      <c r="CA116" s="652">
        <f t="shared" si="47"/>
        <v>-3.4012288464062013E-2</v>
      </c>
      <c r="CB116" s="6"/>
      <c r="CC116" s="6"/>
    </row>
    <row r="117" spans="1:81">
      <c r="A117" s="699"/>
      <c r="B117" s="23" t="s">
        <v>5</v>
      </c>
      <c r="C117" s="17" t="s">
        <v>26</v>
      </c>
      <c r="D117" s="57"/>
      <c r="E117" s="2"/>
      <c r="F117" s="2"/>
      <c r="G117" s="63"/>
      <c r="H117" s="2"/>
      <c r="I117" s="20"/>
      <c r="J117" s="21">
        <f>(E144-J140)*'[2]C&amp;I composn'!$D$18</f>
        <v>162326.78387066844</v>
      </c>
      <c r="K117" s="21"/>
      <c r="L117" s="22"/>
      <c r="M117" s="2"/>
      <c r="N117" s="23"/>
      <c r="O117" s="19"/>
      <c r="P117" s="19"/>
      <c r="Q117" s="19"/>
      <c r="R117" s="305"/>
      <c r="T117" s="57"/>
      <c r="U117" s="2"/>
      <c r="V117" s="2"/>
      <c r="W117" s="199"/>
      <c r="X117" s="198"/>
      <c r="Y117" s="198"/>
      <c r="Z117" s="198"/>
      <c r="AA117" s="274"/>
      <c r="AB117" s="21"/>
      <c r="AC117" s="21"/>
      <c r="AD117" s="21"/>
      <c r="AE117" s="21"/>
      <c r="AF117" s="355"/>
      <c r="AG117" s="20"/>
      <c r="AH117" s="21"/>
      <c r="AI117" s="21"/>
      <c r="AJ117" s="22"/>
      <c r="AK117" s="29"/>
      <c r="AL117" s="19"/>
      <c r="AM117" s="57"/>
      <c r="AN117" s="2"/>
      <c r="AO117" s="2"/>
      <c r="AP117" s="63"/>
      <c r="AQ117" s="68"/>
      <c r="AR117" s="21"/>
      <c r="AS117" s="21"/>
      <c r="AT117" s="21"/>
      <c r="AU117" s="240"/>
      <c r="AV117" s="19"/>
      <c r="AW117" s="195"/>
      <c r="AX117" s="2"/>
      <c r="AY117" s="238"/>
      <c r="BB117" s="19"/>
      <c r="BC117" s="24"/>
      <c r="BG117" s="147" t="s">
        <v>3</v>
      </c>
      <c r="BH117" s="52">
        <f>Q106/1000</f>
        <v>740.86301949526376</v>
      </c>
      <c r="BI117" s="52">
        <f>AJ106/1000</f>
        <v>810.81256213382665</v>
      </c>
      <c r="BJ117" s="52">
        <f>BB106/1000</f>
        <v>0</v>
      </c>
      <c r="BK117" s="137">
        <f>SUM(BI117:BJ117)/BL117</f>
        <v>0.52254000239055243</v>
      </c>
      <c r="BL117" s="52">
        <f>SUM(BH117:BJ117)</f>
        <v>1551.6755816290904</v>
      </c>
      <c r="BR117" s="317"/>
      <c r="BS117" s="317"/>
      <c r="BT117" s="317"/>
      <c r="BU117" s="314"/>
      <c r="BV117" s="314"/>
      <c r="BW117" s="314"/>
      <c r="BX117" s="314"/>
      <c r="BY117" s="314"/>
      <c r="BZ117" s="314"/>
      <c r="CA117" s="314"/>
    </row>
    <row r="118" spans="1:81">
      <c r="A118" s="699"/>
      <c r="B118" s="23"/>
      <c r="C118" s="17" t="s">
        <v>27</v>
      </c>
      <c r="D118" s="57"/>
      <c r="E118" s="2"/>
      <c r="F118" s="2"/>
      <c r="G118" s="63"/>
      <c r="H118" s="2"/>
      <c r="I118" s="20"/>
      <c r="J118" s="725">
        <f>(E144-J140)*'[2]C&amp;I composn'!$D$20</f>
        <v>53365.545699807692</v>
      </c>
      <c r="K118" s="21"/>
      <c r="L118" s="22"/>
      <c r="M118" s="2"/>
      <c r="N118" s="23"/>
      <c r="O118" s="19"/>
      <c r="P118" s="19"/>
      <c r="Q118" s="19"/>
      <c r="R118" s="305"/>
      <c r="T118" s="57"/>
      <c r="U118" s="2"/>
      <c r="V118" s="2"/>
      <c r="W118" s="199"/>
      <c r="X118" s="198"/>
      <c r="Y118" s="198"/>
      <c r="Z118" s="198"/>
      <c r="AA118" s="274"/>
      <c r="AB118" s="21"/>
      <c r="AC118" s="21"/>
      <c r="AD118" s="21"/>
      <c r="AE118" s="21"/>
      <c r="AF118" s="355"/>
      <c r="AG118" s="20"/>
      <c r="AH118" s="21"/>
      <c r="AI118" s="21"/>
      <c r="AJ118" s="22"/>
      <c r="AK118" s="29"/>
      <c r="AL118" s="19"/>
      <c r="AM118" s="57"/>
      <c r="AN118" s="2"/>
      <c r="AO118" s="2"/>
      <c r="AP118" s="63"/>
      <c r="AQ118" s="68"/>
      <c r="AR118" s="21"/>
      <c r="AS118" s="21"/>
      <c r="AT118" s="21"/>
      <c r="AU118" s="240"/>
      <c r="AV118" s="19"/>
      <c r="AW118" s="195"/>
      <c r="AX118" s="2"/>
      <c r="AY118" s="238"/>
      <c r="BB118" s="19"/>
      <c r="BC118" s="24"/>
      <c r="BG118" s="147" t="s">
        <v>4</v>
      </c>
      <c r="BH118" s="52">
        <f>Q110/1000</f>
        <v>133.05477771152934</v>
      </c>
      <c r="BI118" s="52">
        <f>AJ110/1000</f>
        <v>635.35048514749712</v>
      </c>
      <c r="BJ118" s="52">
        <f>BB110/1000</f>
        <v>0</v>
      </c>
      <c r="BK118" s="137">
        <f t="shared" ref="BK118:BK125" si="51">SUM(BI118:BJ118)/BL118</f>
        <v>0.82684296406759528</v>
      </c>
      <c r="BL118" s="52">
        <f t="shared" ref="BL118:BL125" si="52">SUM(BH118:BJ118)</f>
        <v>768.40526285902649</v>
      </c>
      <c r="BR118" s="317"/>
      <c r="BS118" s="317"/>
      <c r="BT118" s="317"/>
      <c r="BU118" s="317"/>
      <c r="BV118" s="317"/>
      <c r="BW118" s="317"/>
      <c r="BX118" s="317"/>
      <c r="BY118" s="317"/>
      <c r="BZ118" s="317"/>
      <c r="CA118" s="317"/>
    </row>
    <row r="119" spans="1:81">
      <c r="A119" s="699"/>
      <c r="B119" s="23"/>
      <c r="C119" s="17" t="s">
        <v>28</v>
      </c>
      <c r="D119" s="57"/>
      <c r="E119" s="2"/>
      <c r="F119" s="2"/>
      <c r="G119" s="63"/>
      <c r="H119" s="2"/>
      <c r="I119" s="20"/>
      <c r="J119" s="725"/>
      <c r="K119" s="21"/>
      <c r="L119" s="22"/>
      <c r="M119" s="2"/>
      <c r="N119" s="23"/>
      <c r="O119" s="19"/>
      <c r="P119" s="19"/>
      <c r="Q119" s="19"/>
      <c r="R119" s="305"/>
      <c r="T119" s="57"/>
      <c r="U119" s="2"/>
      <c r="V119" s="2"/>
      <c r="W119" s="199"/>
      <c r="X119" s="198"/>
      <c r="Y119" s="198"/>
      <c r="Z119" s="198"/>
      <c r="AA119" s="274"/>
      <c r="AB119" s="21"/>
      <c r="AC119" s="21"/>
      <c r="AD119" s="21"/>
      <c r="AE119" s="21"/>
      <c r="AF119" s="355"/>
      <c r="AG119" s="20"/>
      <c r="AH119" s="21"/>
      <c r="AI119" s="21"/>
      <c r="AJ119" s="22"/>
      <c r="AK119" s="29"/>
      <c r="AL119" s="19"/>
      <c r="AM119" s="57"/>
      <c r="AN119" s="2"/>
      <c r="AO119" s="2"/>
      <c r="AP119" s="63"/>
      <c r="AQ119" s="68"/>
      <c r="AR119" s="21"/>
      <c r="AS119" s="21"/>
      <c r="AT119" s="21"/>
      <c r="AU119" s="240"/>
      <c r="AV119" s="19"/>
      <c r="AW119" s="195"/>
      <c r="AX119" s="2"/>
      <c r="AY119" s="238"/>
      <c r="BB119" s="19"/>
      <c r="BC119" s="24"/>
      <c r="BG119" s="147" t="s">
        <v>2</v>
      </c>
      <c r="BH119" s="52">
        <f>Q116/1000</f>
        <v>1426.9760516511492</v>
      </c>
      <c r="BI119" s="52">
        <f>AJ116/1000</f>
        <v>916.79804183369288</v>
      </c>
      <c r="BJ119" s="52">
        <f>BB116/1000</f>
        <v>307.29869790858089</v>
      </c>
      <c r="BK119" s="137">
        <f t="shared" si="51"/>
        <v>0.46173637469187695</v>
      </c>
      <c r="BL119" s="52">
        <f t="shared" si="52"/>
        <v>2651.0727913934229</v>
      </c>
      <c r="BR119" s="317"/>
      <c r="BS119" s="317"/>
      <c r="BT119" s="317"/>
      <c r="BU119" s="317"/>
      <c r="BV119" s="317"/>
      <c r="BW119" s="317"/>
      <c r="BX119" s="317"/>
      <c r="BY119" s="317"/>
      <c r="BZ119" s="317"/>
      <c r="CA119" s="317"/>
    </row>
    <row r="120" spans="1:81">
      <c r="A120" s="699"/>
      <c r="B120" s="23"/>
      <c r="C120" s="17" t="s">
        <v>29</v>
      </c>
      <c r="D120" s="57"/>
      <c r="E120" s="2"/>
      <c r="F120" s="2"/>
      <c r="G120" s="63"/>
      <c r="H120" s="2"/>
      <c r="I120" s="20"/>
      <c r="J120" s="21">
        <f>(E144-J140)*'[2]C&amp;I composn'!$D$19</f>
        <v>79660.273609044802</v>
      </c>
      <c r="K120" s="21"/>
      <c r="L120" s="22"/>
      <c r="M120" s="2"/>
      <c r="N120" s="23"/>
      <c r="O120" s="19"/>
      <c r="P120" s="19"/>
      <c r="Q120" s="19"/>
      <c r="R120" s="305"/>
      <c r="T120" s="57"/>
      <c r="U120" s="2"/>
      <c r="V120" s="2"/>
      <c r="W120" s="199"/>
      <c r="X120" s="198"/>
      <c r="Y120" s="198"/>
      <c r="Z120" s="198"/>
      <c r="AA120" s="274"/>
      <c r="AB120" s="21"/>
      <c r="AC120" s="21"/>
      <c r="AD120" s="21"/>
      <c r="AE120" s="21"/>
      <c r="AF120" s="355"/>
      <c r="AG120" s="20"/>
      <c r="AH120" s="21"/>
      <c r="AI120" s="21"/>
      <c r="AJ120" s="22"/>
      <c r="AK120" s="29"/>
      <c r="AL120" s="19"/>
      <c r="AM120" s="57"/>
      <c r="AN120" s="2"/>
      <c r="AO120" s="2"/>
      <c r="AP120" s="63"/>
      <c r="AQ120" s="68"/>
      <c r="AR120" s="21"/>
      <c r="AS120" s="21"/>
      <c r="AT120" s="21"/>
      <c r="AU120" s="240"/>
      <c r="AV120" s="19"/>
      <c r="AW120" s="195"/>
      <c r="AX120" s="2"/>
      <c r="AY120" s="238"/>
      <c r="BB120" s="19"/>
      <c r="BC120" s="24"/>
      <c r="BG120" s="147" t="s">
        <v>5</v>
      </c>
      <c r="BH120" s="52">
        <f>Q121/1000</f>
        <v>515.44536544812263</v>
      </c>
      <c r="BI120" s="52">
        <f>AJ121/1000</f>
        <v>496.42929098571278</v>
      </c>
      <c r="BJ120" s="52">
        <f>BB121/1000</f>
        <v>32.451553067401498</v>
      </c>
      <c r="BK120" s="137">
        <f t="shared" si="51"/>
        <v>0.50643260625021003</v>
      </c>
      <c r="BL120" s="52">
        <f t="shared" si="52"/>
        <v>1044.3262095012369</v>
      </c>
      <c r="BR120" s="317"/>
      <c r="BS120" s="317"/>
      <c r="BT120" s="317"/>
      <c r="BU120" s="317"/>
      <c r="BV120" s="317"/>
      <c r="BW120" s="317"/>
      <c r="BX120" s="317"/>
      <c r="BY120" s="317"/>
      <c r="BZ120" s="317"/>
      <c r="CA120" s="317"/>
    </row>
    <row r="121" spans="1:81" s="106" customFormat="1">
      <c r="A121" s="699"/>
      <c r="B121" s="107" t="s">
        <v>67</v>
      </c>
      <c r="C121" s="108"/>
      <c r="D121" s="109"/>
      <c r="E121" s="110"/>
      <c r="F121" s="110"/>
      <c r="G121" s="111"/>
      <c r="H121" s="110"/>
      <c r="I121" s="112">
        <f>D144*'[2]Lfill en &amp; composn'!B$136</f>
        <v>219834.55000000002</v>
      </c>
      <c r="J121" s="113">
        <f>SUM(J117:J120)</f>
        <v>295352.60317952093</v>
      </c>
      <c r="K121" s="113">
        <f>(F144-K140)*'[2]Lfill en &amp; composn'!C$147</f>
        <v>32709.765336003147</v>
      </c>
      <c r="L121" s="114">
        <f>SUM(I121:K121)</f>
        <v>547896.91851552413</v>
      </c>
      <c r="M121" s="110"/>
      <c r="N121" s="112">
        <f>I121-AU121</f>
        <v>206813.90264045261</v>
      </c>
      <c r="O121" s="113">
        <f t="shared" ref="O121" si="53">J121-AV121</f>
        <v>277859.07410174457</v>
      </c>
      <c r="P121" s="113">
        <f t="shared" ref="P121" si="54">K121-AW121</f>
        <v>30772.388705925459</v>
      </c>
      <c r="Q121" s="114">
        <f>SUM(N121:P121)</f>
        <v>515445.36544812261</v>
      </c>
      <c r="R121" s="118">
        <f>Q121/[2]Popn!$E$42*1000</f>
        <v>117.04396123926989</v>
      </c>
      <c r="T121" s="109"/>
      <c r="U121" s="110"/>
      <c r="V121" s="110"/>
      <c r="W121" s="203"/>
      <c r="X121" s="130"/>
      <c r="Y121" s="130"/>
      <c r="Z121" s="130"/>
      <c r="AA121" s="276"/>
      <c r="AB121" s="113"/>
      <c r="AC121" s="113"/>
      <c r="AD121" s="113"/>
      <c r="AE121" s="113">
        <f>SUM(T144:V144)*[2]QLD!$E$104</f>
        <v>496429.29098571278</v>
      </c>
      <c r="AF121" s="567"/>
      <c r="AG121" s="112"/>
      <c r="AH121" s="113"/>
      <c r="AI121" s="113"/>
      <c r="AJ121" s="114">
        <f>AE121</f>
        <v>496429.29098571278</v>
      </c>
      <c r="AK121" s="115">
        <f>AJ121/[2]Popn!$E$42*1000</f>
        <v>112.72591546468745</v>
      </c>
      <c r="AL121" s="119"/>
      <c r="AM121" s="109"/>
      <c r="AN121" s="110"/>
      <c r="AO121" s="110"/>
      <c r="AP121" s="111"/>
      <c r="AQ121" s="117"/>
      <c r="AR121" s="113">
        <f>L121*'[2]Lfill en &amp; composn'!$D$17</f>
        <v>107387.79602904273</v>
      </c>
      <c r="AS121" s="123">
        <f>AR121/SUM($AR$101:$AR$143)</f>
        <v>0.36599808492863334</v>
      </c>
      <c r="AT121" s="113">
        <f>AS121*'[2]Lfill en &amp; composn'!$E$63/'[2]Lfill en &amp; composn'!$B$17</f>
        <v>32451.553067401499</v>
      </c>
      <c r="AU121" s="120">
        <f>$AT121*I121/SUM($I121:$K121)</f>
        <v>13020.647359547424</v>
      </c>
      <c r="AV121" s="113">
        <f>$AT121*J121/SUM($I121:$K121)</f>
        <v>17493.529077776384</v>
      </c>
      <c r="AW121" s="114">
        <f>$AT121*K121/SUM($I121:$K121)</f>
        <v>1937.3766300776888</v>
      </c>
      <c r="AX121" s="110"/>
      <c r="AY121" s="241">
        <f>AU121</f>
        <v>13020.647359547424</v>
      </c>
      <c r="AZ121" s="242">
        <f>AV121</f>
        <v>17493.529077776384</v>
      </c>
      <c r="BA121" s="242">
        <f>AW121</f>
        <v>1937.3766300776888</v>
      </c>
      <c r="BB121" s="243">
        <f>SUM(AY121:BA121)</f>
        <v>32451.553067401495</v>
      </c>
      <c r="BC121" s="118">
        <f>BB121/[2]Popn!$E$42*1000</f>
        <v>7.3688863534021412</v>
      </c>
      <c r="BD121" s="122"/>
      <c r="BG121" s="147" t="s">
        <v>6</v>
      </c>
      <c r="BH121" s="52">
        <f>Q131/1000</f>
        <v>395.4108879946711</v>
      </c>
      <c r="BI121" s="52">
        <f>AJ131/1000</f>
        <v>28.080052000000002</v>
      </c>
      <c r="BJ121" s="52">
        <f>BB131/1000</f>
        <v>0</v>
      </c>
      <c r="BK121" s="137">
        <f t="shared" si="51"/>
        <v>6.6306145771036662E-2</v>
      </c>
      <c r="BL121" s="52">
        <f t="shared" si="52"/>
        <v>423.49093999467112</v>
      </c>
      <c r="BM121" s="6"/>
      <c r="BN121" s="6"/>
      <c r="BO121" s="6"/>
      <c r="BR121" s="314"/>
      <c r="BS121" s="314"/>
      <c r="BT121" s="317"/>
      <c r="BU121" s="317"/>
      <c r="BV121" s="317"/>
      <c r="BW121" s="317"/>
      <c r="BX121" s="317"/>
      <c r="BY121" s="317"/>
      <c r="BZ121" s="317"/>
      <c r="CA121" s="317"/>
      <c r="CB121" s="6"/>
      <c r="CC121" s="6"/>
    </row>
    <row r="122" spans="1:81">
      <c r="A122" s="699"/>
      <c r="B122" s="23" t="s">
        <v>6</v>
      </c>
      <c r="C122" s="17" t="s">
        <v>30</v>
      </c>
      <c r="D122" s="57"/>
      <c r="E122" s="2"/>
      <c r="F122" s="2"/>
      <c r="G122" s="63"/>
      <c r="H122" s="2"/>
      <c r="I122" s="20"/>
      <c r="J122" s="21"/>
      <c r="K122" s="21"/>
      <c r="L122" s="22"/>
      <c r="M122" s="2"/>
      <c r="N122" s="23"/>
      <c r="O122" s="19"/>
      <c r="P122" s="19"/>
      <c r="Q122" s="19"/>
      <c r="R122" s="305"/>
      <c r="T122" s="57"/>
      <c r="U122" s="2"/>
      <c r="V122" s="2"/>
      <c r="W122" s="199"/>
      <c r="X122" s="198"/>
      <c r="Y122" s="198"/>
      <c r="Z122" s="198"/>
      <c r="AA122" s="274"/>
      <c r="AB122" s="21"/>
      <c r="AC122" s="21"/>
      <c r="AD122" s="21"/>
      <c r="AE122" s="21"/>
      <c r="AF122" s="355"/>
      <c r="AG122" s="20"/>
      <c r="AH122" s="21"/>
      <c r="AI122" s="21"/>
      <c r="AJ122" s="22"/>
      <c r="AK122" s="29"/>
      <c r="AL122" s="19"/>
      <c r="AM122" s="57"/>
      <c r="AN122" s="2"/>
      <c r="AO122" s="2"/>
      <c r="AP122" s="63"/>
      <c r="AQ122" s="68"/>
      <c r="AR122" s="21"/>
      <c r="AS122" s="21"/>
      <c r="AT122" s="21"/>
      <c r="AU122" s="240"/>
      <c r="AV122" s="19"/>
      <c r="AW122" s="195"/>
      <c r="AX122" s="2"/>
      <c r="AY122" s="238"/>
      <c r="BB122" s="19"/>
      <c r="BC122" s="24"/>
      <c r="BG122" s="147" t="s">
        <v>8</v>
      </c>
      <c r="BH122" s="52">
        <f>Q132/1000</f>
        <v>99.257589215277463</v>
      </c>
      <c r="BI122" s="52">
        <f>AJ132/1000</f>
        <v>76.373737074725042</v>
      </c>
      <c r="BJ122" s="52">
        <f>BB132/1000</f>
        <v>0</v>
      </c>
      <c r="BK122" s="137">
        <f t="shared" si="51"/>
        <v>0.4348525897288773</v>
      </c>
      <c r="BL122" s="52">
        <f t="shared" si="52"/>
        <v>175.63132629000251</v>
      </c>
      <c r="BR122" s="317"/>
      <c r="BS122" s="317"/>
      <c r="BT122" s="317"/>
      <c r="BU122" s="317"/>
      <c r="BV122" s="317"/>
      <c r="BW122" s="317"/>
      <c r="BX122" s="317"/>
      <c r="BY122" s="317"/>
      <c r="BZ122" s="317"/>
      <c r="CA122" s="317"/>
    </row>
    <row r="123" spans="1:81">
      <c r="A123" s="699"/>
      <c r="B123" s="23"/>
      <c r="C123" s="17" t="s">
        <v>31</v>
      </c>
      <c r="D123" s="57"/>
      <c r="E123" s="2"/>
      <c r="F123" s="2"/>
      <c r="G123" s="63"/>
      <c r="H123" s="2"/>
      <c r="I123" s="20"/>
      <c r="J123" s="21"/>
      <c r="K123" s="21"/>
      <c r="L123" s="22"/>
      <c r="M123" s="2"/>
      <c r="N123" s="23"/>
      <c r="O123" s="19"/>
      <c r="P123" s="19"/>
      <c r="Q123" s="19"/>
      <c r="R123" s="305"/>
      <c r="T123" s="57"/>
      <c r="U123" s="2"/>
      <c r="V123" s="2"/>
      <c r="W123" s="199"/>
      <c r="X123" s="198"/>
      <c r="Y123" s="198"/>
      <c r="Z123" s="198"/>
      <c r="AA123" s="274"/>
      <c r="AB123" s="21"/>
      <c r="AC123" s="21"/>
      <c r="AD123" s="21"/>
      <c r="AE123" s="21"/>
      <c r="AF123" s="355"/>
      <c r="AG123" s="20"/>
      <c r="AH123" s="21"/>
      <c r="AI123" s="21"/>
      <c r="AJ123" s="22"/>
      <c r="AK123" s="29"/>
      <c r="AL123" s="19"/>
      <c r="AM123" s="57"/>
      <c r="AN123" s="2"/>
      <c r="AO123" s="2"/>
      <c r="AP123" s="63"/>
      <c r="AQ123" s="68"/>
      <c r="AR123" s="21"/>
      <c r="AS123" s="21"/>
      <c r="AT123" s="21"/>
      <c r="AU123" s="240"/>
      <c r="AV123" s="19"/>
      <c r="AW123" s="195"/>
      <c r="AX123" s="2"/>
      <c r="AY123" s="238"/>
      <c r="BB123" s="19"/>
      <c r="BC123" s="24"/>
      <c r="BG123" s="147" t="s">
        <v>7</v>
      </c>
      <c r="BH123" s="52">
        <f>Q135/1000</f>
        <v>67.529439505069021</v>
      </c>
      <c r="BI123" s="52">
        <f>AJ135/1000</f>
        <v>36.540882824545172</v>
      </c>
      <c r="BJ123" s="52">
        <f>BB135/1000</f>
        <v>4.3438846482344937</v>
      </c>
      <c r="BK123" s="137">
        <f t="shared" si="51"/>
        <v>0.37711632647124643</v>
      </c>
      <c r="BL123" s="52">
        <f t="shared" si="52"/>
        <v>108.41420697784868</v>
      </c>
      <c r="BR123" s="317"/>
      <c r="BS123" s="317"/>
      <c r="BT123" s="325"/>
      <c r="BU123" s="317"/>
      <c r="BV123" s="317"/>
      <c r="BW123" s="317"/>
      <c r="BX123" s="317"/>
      <c r="BY123" s="317"/>
      <c r="BZ123" s="317"/>
      <c r="CA123" s="317"/>
    </row>
    <row r="124" spans="1:81">
      <c r="A124" s="699"/>
      <c r="B124" s="23"/>
      <c r="C124" s="17" t="s">
        <v>32</v>
      </c>
      <c r="D124" s="57"/>
      <c r="E124" s="2"/>
      <c r="F124" s="2"/>
      <c r="G124" s="63"/>
      <c r="H124" s="2"/>
      <c r="I124" s="20"/>
      <c r="J124" s="21"/>
      <c r="K124" s="21"/>
      <c r="L124" s="22"/>
      <c r="M124" s="2"/>
      <c r="N124" s="23"/>
      <c r="O124" s="19"/>
      <c r="P124" s="19"/>
      <c r="Q124" s="19"/>
      <c r="R124" s="305"/>
      <c r="T124" s="57"/>
      <c r="U124" s="2"/>
      <c r="V124" s="2"/>
      <c r="W124" s="199"/>
      <c r="X124" s="198"/>
      <c r="Y124" s="198"/>
      <c r="Z124" s="198"/>
      <c r="AA124" s="274"/>
      <c r="AB124" s="21"/>
      <c r="AC124" s="21"/>
      <c r="AD124" s="21"/>
      <c r="AE124" s="21"/>
      <c r="AF124" s="355"/>
      <c r="AG124" s="20"/>
      <c r="AH124" s="21"/>
      <c r="AI124" s="21"/>
      <c r="AJ124" s="22"/>
      <c r="AK124" s="29"/>
      <c r="AL124" s="19"/>
      <c r="AM124" s="57"/>
      <c r="AN124" s="2"/>
      <c r="AO124" s="2"/>
      <c r="AP124" s="63"/>
      <c r="AQ124" s="68"/>
      <c r="AR124" s="21"/>
      <c r="AS124" s="21"/>
      <c r="AT124" s="21"/>
      <c r="AU124" s="240"/>
      <c r="AV124" s="19"/>
      <c r="AW124" s="195"/>
      <c r="AX124" s="2"/>
      <c r="AY124" s="238"/>
      <c r="BB124" s="19"/>
      <c r="BC124" s="24"/>
      <c r="BG124" s="147" t="s">
        <v>11</v>
      </c>
      <c r="BH124" s="52">
        <f>Q140/1000</f>
        <v>780.25173335470038</v>
      </c>
      <c r="BI124" s="52">
        <f>AJ140/1000</f>
        <v>69.879000000000005</v>
      </c>
      <c r="BJ124" s="52">
        <f>BB140/1000</f>
        <v>10.63</v>
      </c>
      <c r="BK124" s="137">
        <f t="shared" si="51"/>
        <v>9.3532379998593679E-2</v>
      </c>
      <c r="BL124" s="52">
        <f t="shared" si="52"/>
        <v>860.76073335470039</v>
      </c>
      <c r="BR124" s="317"/>
      <c r="BS124" s="317"/>
      <c r="BT124" s="326"/>
      <c r="BU124" s="325"/>
      <c r="BV124" s="317"/>
      <c r="BW124" s="317"/>
      <c r="BX124" s="317"/>
      <c r="BY124" s="317"/>
      <c r="BZ124" s="317"/>
      <c r="CA124" s="317"/>
    </row>
    <row r="125" spans="1:81" s="90" customFormat="1">
      <c r="A125" s="699"/>
      <c r="B125" s="91" t="s">
        <v>42</v>
      </c>
      <c r="C125" s="92"/>
      <c r="D125" s="93"/>
      <c r="E125" s="94"/>
      <c r="F125" s="94"/>
      <c r="G125" s="95"/>
      <c r="H125" s="94"/>
      <c r="I125" s="96"/>
      <c r="J125" s="97"/>
      <c r="K125" s="97"/>
      <c r="L125" s="98"/>
      <c r="M125" s="94"/>
      <c r="N125" s="96"/>
      <c r="O125" s="97"/>
      <c r="P125" s="97"/>
      <c r="Q125" s="97"/>
      <c r="R125" s="102"/>
      <c r="T125" s="93"/>
      <c r="U125" s="94"/>
      <c r="V125" s="94"/>
      <c r="W125" s="211"/>
      <c r="X125" s="289"/>
      <c r="Y125" s="289"/>
      <c r="Z125" s="289"/>
      <c r="AA125" s="280"/>
      <c r="AB125" s="97"/>
      <c r="AC125" s="97"/>
      <c r="AD125" s="97"/>
      <c r="AE125" s="97"/>
      <c r="AF125" s="568"/>
      <c r="AG125" s="96"/>
      <c r="AH125" s="97"/>
      <c r="AI125" s="97"/>
      <c r="AJ125" s="98"/>
      <c r="AK125" s="102"/>
      <c r="AL125" s="103"/>
      <c r="AM125" s="93"/>
      <c r="AN125" s="94"/>
      <c r="AO125" s="94"/>
      <c r="AP125" s="95"/>
      <c r="AQ125" s="100"/>
      <c r="AR125" s="97"/>
      <c r="AS125" s="128"/>
      <c r="AT125" s="128"/>
      <c r="AU125" s="104"/>
      <c r="AV125" s="97"/>
      <c r="AW125" s="98"/>
      <c r="AX125" s="94"/>
      <c r="AY125" s="239"/>
      <c r="BB125" s="97"/>
      <c r="BC125" s="105"/>
      <c r="BG125" s="147" t="s">
        <v>1</v>
      </c>
      <c r="BH125" s="52">
        <f>Q141/1000</f>
        <v>4908.3370000000004</v>
      </c>
      <c r="BI125" s="52">
        <f>AJ141/1000</f>
        <v>815.43200000000002</v>
      </c>
      <c r="BJ125" s="52">
        <f>BB141/1000</f>
        <v>0</v>
      </c>
      <c r="BK125" s="137">
        <f t="shared" si="51"/>
        <v>0.1424641700250307</v>
      </c>
      <c r="BL125" s="52">
        <f t="shared" si="52"/>
        <v>5723.7690000000002</v>
      </c>
      <c r="BM125" s="6"/>
      <c r="BN125" s="6"/>
      <c r="BO125" s="6"/>
      <c r="BR125" s="334"/>
      <c r="BS125" s="334"/>
      <c r="BT125" s="328"/>
      <c r="BU125" s="326"/>
      <c r="BV125" s="317"/>
      <c r="BW125" s="317"/>
      <c r="BX125" s="317"/>
      <c r="BY125" s="317"/>
      <c r="BZ125" s="317"/>
      <c r="CA125" s="317"/>
      <c r="CB125" s="6"/>
      <c r="CC125" s="6"/>
    </row>
    <row r="126" spans="1:81">
      <c r="A126" s="699"/>
      <c r="B126" s="23"/>
      <c r="C126" s="17" t="s">
        <v>33</v>
      </c>
      <c r="D126" s="57"/>
      <c r="E126" s="2"/>
      <c r="F126" s="2"/>
      <c r="G126" s="63"/>
      <c r="H126" s="2"/>
      <c r="I126" s="20"/>
      <c r="J126" s="21"/>
      <c r="K126" s="21"/>
      <c r="L126" s="22"/>
      <c r="M126" s="2"/>
      <c r="N126" s="23"/>
      <c r="O126" s="19"/>
      <c r="P126" s="19"/>
      <c r="Q126" s="19"/>
      <c r="R126" s="305"/>
      <c r="T126" s="57"/>
      <c r="U126" s="2"/>
      <c r="V126" s="2"/>
      <c r="W126" s="199"/>
      <c r="X126" s="198"/>
      <c r="Y126" s="198"/>
      <c r="Z126" s="198"/>
      <c r="AA126" s="274"/>
      <c r="AB126" s="21"/>
      <c r="AC126" s="21"/>
      <c r="AD126" s="21"/>
      <c r="AE126" s="21"/>
      <c r="AF126" s="355"/>
      <c r="AG126" s="20"/>
      <c r="AH126" s="21"/>
      <c r="AI126" s="21"/>
      <c r="AJ126" s="22"/>
      <c r="AK126" s="29"/>
      <c r="AL126" s="19"/>
      <c r="AM126" s="57"/>
      <c r="AN126" s="2"/>
      <c r="AO126" s="2"/>
      <c r="AP126" s="63"/>
      <c r="AQ126" s="68"/>
      <c r="AR126" s="21"/>
      <c r="AS126" s="21"/>
      <c r="AT126" s="21"/>
      <c r="AU126" s="240"/>
      <c r="AV126" s="19"/>
      <c r="AW126" s="195"/>
      <c r="AX126" s="2"/>
      <c r="AY126" s="238"/>
      <c r="BB126" s="19"/>
      <c r="BC126" s="24"/>
      <c r="BG126" s="142"/>
      <c r="BR126" s="317"/>
      <c r="BS126" s="317"/>
      <c r="BT126" s="328"/>
      <c r="BU126" s="329"/>
      <c r="BV126" s="317"/>
      <c r="BW126" s="317"/>
      <c r="BX126" s="317"/>
      <c r="BY126" s="317"/>
      <c r="BZ126" s="317"/>
      <c r="CA126" s="317"/>
    </row>
    <row r="127" spans="1:81">
      <c r="A127" s="699"/>
      <c r="B127" s="23"/>
      <c r="C127" s="17" t="s">
        <v>34</v>
      </c>
      <c r="D127" s="57"/>
      <c r="E127" s="2"/>
      <c r="F127" s="2"/>
      <c r="G127" s="63"/>
      <c r="H127" s="2"/>
      <c r="I127" s="20"/>
      <c r="J127" s="21"/>
      <c r="K127" s="21"/>
      <c r="L127" s="22"/>
      <c r="M127" s="2"/>
      <c r="N127" s="23"/>
      <c r="O127" s="19"/>
      <c r="P127" s="19"/>
      <c r="Q127" s="19"/>
      <c r="R127" s="305"/>
      <c r="T127" s="57"/>
      <c r="U127" s="2"/>
      <c r="V127" s="2"/>
      <c r="W127" s="199"/>
      <c r="X127" s="198"/>
      <c r="Y127" s="198"/>
      <c r="Z127" s="198"/>
      <c r="AA127" s="274"/>
      <c r="AB127" s="21"/>
      <c r="AC127" s="21"/>
      <c r="AD127" s="21"/>
      <c r="AE127" s="21"/>
      <c r="AF127" s="355"/>
      <c r="AG127" s="20"/>
      <c r="AH127" s="21"/>
      <c r="AI127" s="21"/>
      <c r="AJ127" s="22"/>
      <c r="AK127" s="29"/>
      <c r="AL127" s="19"/>
      <c r="AM127" s="57"/>
      <c r="AN127" s="2"/>
      <c r="AO127" s="2"/>
      <c r="AP127" s="63"/>
      <c r="AQ127" s="68"/>
      <c r="AR127" s="21"/>
      <c r="AS127" s="21"/>
      <c r="AT127" s="21"/>
      <c r="AU127" s="240"/>
      <c r="AV127" s="19"/>
      <c r="AW127" s="195"/>
      <c r="AX127" s="2"/>
      <c r="AY127" s="238"/>
      <c r="BB127" s="19"/>
      <c r="BC127" s="24"/>
      <c r="BR127" s="317"/>
      <c r="BS127" s="317"/>
      <c r="BT127" s="317"/>
      <c r="BU127" s="329"/>
      <c r="BV127" s="317"/>
      <c r="BW127" s="317"/>
      <c r="BX127" s="317"/>
      <c r="BY127" s="317"/>
      <c r="BZ127" s="317"/>
      <c r="CA127" s="317"/>
    </row>
    <row r="128" spans="1:81">
      <c r="A128" s="699"/>
      <c r="B128" s="23"/>
      <c r="C128" s="17" t="s">
        <v>35</v>
      </c>
      <c r="D128" s="57"/>
      <c r="E128" s="2"/>
      <c r="F128" s="2"/>
      <c r="G128" s="63"/>
      <c r="H128" s="2"/>
      <c r="I128" s="20"/>
      <c r="J128" s="21"/>
      <c r="K128" s="21"/>
      <c r="L128" s="22"/>
      <c r="M128" s="2"/>
      <c r="N128" s="23"/>
      <c r="O128" s="19"/>
      <c r="P128" s="19"/>
      <c r="Q128" s="19"/>
      <c r="R128" s="305"/>
      <c r="T128" s="57"/>
      <c r="U128" s="2"/>
      <c r="V128" s="2"/>
      <c r="W128" s="199"/>
      <c r="X128" s="198"/>
      <c r="Y128" s="198"/>
      <c r="Z128" s="198"/>
      <c r="AA128" s="274"/>
      <c r="AB128" s="21"/>
      <c r="AC128" s="21"/>
      <c r="AD128" s="21"/>
      <c r="AE128" s="21"/>
      <c r="AF128" s="355"/>
      <c r="AG128" s="20"/>
      <c r="AH128" s="21"/>
      <c r="AI128" s="21"/>
      <c r="AJ128" s="22"/>
      <c r="AK128" s="29"/>
      <c r="AL128" s="19"/>
      <c r="AM128" s="57"/>
      <c r="AN128" s="2"/>
      <c r="AO128" s="2"/>
      <c r="AP128" s="63"/>
      <c r="AQ128" s="68"/>
      <c r="AR128" s="21"/>
      <c r="AS128" s="21"/>
      <c r="AT128" s="21"/>
      <c r="AU128" s="240"/>
      <c r="AV128" s="19"/>
      <c r="AW128" s="195"/>
      <c r="AX128" s="2"/>
      <c r="AY128" s="238"/>
      <c r="BB128" s="19"/>
      <c r="BC128" s="24"/>
      <c r="BR128" s="317"/>
      <c r="BS128" s="317"/>
      <c r="BT128" s="314"/>
      <c r="BU128" s="317"/>
      <c r="BV128" s="317"/>
      <c r="BW128" s="317"/>
      <c r="BX128" s="317"/>
      <c r="BY128" s="317"/>
      <c r="BZ128" s="317"/>
      <c r="CA128" s="317"/>
    </row>
    <row r="129" spans="1:81">
      <c r="A129" s="699"/>
      <c r="B129" s="23"/>
      <c r="C129" s="17" t="s">
        <v>36</v>
      </c>
      <c r="D129" s="57"/>
      <c r="E129" s="2"/>
      <c r="F129" s="2"/>
      <c r="G129" s="63"/>
      <c r="H129" s="2"/>
      <c r="I129" s="20"/>
      <c r="J129" s="21"/>
      <c r="K129" s="21"/>
      <c r="L129" s="22"/>
      <c r="M129" s="2"/>
      <c r="N129" s="23"/>
      <c r="O129" s="19"/>
      <c r="P129" s="19"/>
      <c r="Q129" s="19"/>
      <c r="R129" s="305"/>
      <c r="T129" s="57"/>
      <c r="U129" s="2"/>
      <c r="V129" s="2"/>
      <c r="W129" s="199"/>
      <c r="X129" s="198"/>
      <c r="Y129" s="198"/>
      <c r="Z129" s="198"/>
      <c r="AA129" s="274"/>
      <c r="AB129" s="21"/>
      <c r="AC129" s="21"/>
      <c r="AD129" s="21"/>
      <c r="AE129" s="21"/>
      <c r="AF129" s="355"/>
      <c r="AG129" s="20"/>
      <c r="AH129" s="21"/>
      <c r="AI129" s="21"/>
      <c r="AJ129" s="22"/>
      <c r="AK129" s="29"/>
      <c r="AL129" s="19"/>
      <c r="AM129" s="57"/>
      <c r="AN129" s="2"/>
      <c r="AO129" s="2"/>
      <c r="AP129" s="63"/>
      <c r="AQ129" s="68"/>
      <c r="AR129" s="21"/>
      <c r="AS129" s="21"/>
      <c r="AT129" s="21"/>
      <c r="AU129" s="240"/>
      <c r="AV129" s="19"/>
      <c r="AW129" s="195"/>
      <c r="AX129" s="2"/>
      <c r="AY129" s="238"/>
      <c r="BB129" s="19"/>
      <c r="BC129" s="24"/>
      <c r="BR129" s="317"/>
      <c r="BS129" s="317"/>
      <c r="BT129" s="317"/>
      <c r="BU129" s="314"/>
      <c r="BV129" s="314"/>
      <c r="BW129" s="314"/>
      <c r="BX129" s="314"/>
      <c r="BY129" s="314"/>
      <c r="BZ129" s="314"/>
      <c r="CA129" s="314"/>
    </row>
    <row r="130" spans="1:81" s="90" customFormat="1">
      <c r="A130" s="699"/>
      <c r="B130" s="91" t="s">
        <v>43</v>
      </c>
      <c r="C130" s="92"/>
      <c r="D130" s="93"/>
      <c r="E130" s="94"/>
      <c r="F130" s="94"/>
      <c r="G130" s="95"/>
      <c r="H130" s="94"/>
      <c r="I130" s="96"/>
      <c r="J130" s="97"/>
      <c r="K130" s="97"/>
      <c r="L130" s="98"/>
      <c r="M130" s="94"/>
      <c r="N130" s="96"/>
      <c r="O130" s="97"/>
      <c r="P130" s="97"/>
      <c r="Q130" s="97"/>
      <c r="R130" s="102"/>
      <c r="T130" s="93"/>
      <c r="U130" s="94"/>
      <c r="V130" s="94"/>
      <c r="W130" s="211"/>
      <c r="X130" s="289"/>
      <c r="Y130" s="289"/>
      <c r="Z130" s="289"/>
      <c r="AA130" s="280"/>
      <c r="AB130" s="97"/>
      <c r="AC130" s="97"/>
      <c r="AD130" s="97"/>
      <c r="AE130" s="97"/>
      <c r="AF130" s="568"/>
      <c r="AG130" s="96"/>
      <c r="AH130" s="97"/>
      <c r="AI130" s="97"/>
      <c r="AJ130" s="98"/>
      <c r="AK130" s="102"/>
      <c r="AL130" s="103"/>
      <c r="AM130" s="93"/>
      <c r="AN130" s="94"/>
      <c r="AO130" s="94"/>
      <c r="AP130" s="95"/>
      <c r="AQ130" s="100"/>
      <c r="AR130" s="97"/>
      <c r="AS130" s="97"/>
      <c r="AT130" s="97"/>
      <c r="AU130" s="104"/>
      <c r="AV130" s="97"/>
      <c r="AW130" s="98"/>
      <c r="AX130" s="94"/>
      <c r="AY130" s="239"/>
      <c r="BB130" s="97"/>
      <c r="BC130" s="105"/>
      <c r="BG130" s="143"/>
      <c r="BR130" s="334"/>
      <c r="BS130" s="334"/>
      <c r="BT130" s="317"/>
      <c r="BU130" s="317"/>
      <c r="BV130" s="317"/>
      <c r="BW130" s="317"/>
      <c r="BX130" s="317"/>
      <c r="BY130" s="317"/>
      <c r="BZ130" s="317"/>
      <c r="CA130" s="317"/>
      <c r="CB130" s="6"/>
      <c r="CC130" s="6"/>
    </row>
    <row r="131" spans="1:81" s="106" customFormat="1">
      <c r="A131" s="699"/>
      <c r="B131" s="107" t="s">
        <v>67</v>
      </c>
      <c r="C131" s="108"/>
      <c r="D131" s="109"/>
      <c r="E131" s="110"/>
      <c r="F131" s="110"/>
      <c r="G131" s="111"/>
      <c r="H131" s="110"/>
      <c r="I131" s="112">
        <f>D144*'[2]Lfill en &amp; composn'!B$137</f>
        <v>218728.20442042485</v>
      </c>
      <c r="J131" s="113">
        <f>(E144-J140)*SUM('[2]C&amp;I composn'!$D$21:$D$22)</f>
        <v>144337.90092997087</v>
      </c>
      <c r="K131" s="113">
        <f>(F144-K140)*'[2]Lfill en &amp; composn'!C$148</f>
        <v>32344.782644275387</v>
      </c>
      <c r="L131" s="114">
        <f>SUM(I131:K131)</f>
        <v>395410.88799467112</v>
      </c>
      <c r="M131" s="110"/>
      <c r="N131" s="112">
        <f>I131</f>
        <v>218728.20442042485</v>
      </c>
      <c r="O131" s="113">
        <f t="shared" ref="O131:O132" si="55">J131</f>
        <v>144337.90092997087</v>
      </c>
      <c r="P131" s="113">
        <f t="shared" ref="P131:P132" si="56">K131</f>
        <v>32344.782644275387</v>
      </c>
      <c r="Q131" s="114">
        <f>SUM(N131:P131)</f>
        <v>395410.88799467112</v>
      </c>
      <c r="R131" s="118">
        <f>Q131/[2]Popn!$E$42*1000</f>
        <v>89.787317435278226</v>
      </c>
      <c r="T131" s="202">
        <f>[2]PACIA!$C$30*[2]PACIA!I$30</f>
        <v>16831.2</v>
      </c>
      <c r="U131" s="130">
        <f>[2]PACIA!$C$30*[2]PACIA!J$30</f>
        <v>11192.748000000001</v>
      </c>
      <c r="V131" s="130">
        <f>[2]PACIA!$C$30*[2]PACIA!K$30</f>
        <v>56.103999999999999</v>
      </c>
      <c r="W131" s="203"/>
      <c r="X131" s="130"/>
      <c r="Y131" s="130"/>
      <c r="Z131" s="130"/>
      <c r="AA131" s="276"/>
      <c r="AB131" s="113"/>
      <c r="AC131" s="113"/>
      <c r="AD131" s="113"/>
      <c r="AE131" s="113"/>
      <c r="AF131" s="567"/>
      <c r="AG131" s="112">
        <f>T131</f>
        <v>16831.2</v>
      </c>
      <c r="AH131" s="113">
        <f>U131</f>
        <v>11192.748000000001</v>
      </c>
      <c r="AI131" s="113">
        <f>V131</f>
        <v>56.103999999999999</v>
      </c>
      <c r="AJ131" s="114">
        <f>SUM(AG131:AI131)</f>
        <v>28080.052000000003</v>
      </c>
      <c r="AK131" s="115">
        <f>AJ131/[2]Popn!$E$42*1000</f>
        <v>6.3762344919472662</v>
      </c>
      <c r="AL131" s="119"/>
      <c r="AM131" s="109"/>
      <c r="AN131" s="110"/>
      <c r="AO131" s="110"/>
      <c r="AP131" s="111"/>
      <c r="AQ131" s="116"/>
      <c r="AR131" s="113"/>
      <c r="AS131" s="113"/>
      <c r="AT131" s="113"/>
      <c r="AU131" s="120"/>
      <c r="AV131" s="113"/>
      <c r="AW131" s="114"/>
      <c r="AX131" s="110"/>
      <c r="AY131" s="237"/>
      <c r="BB131" s="113"/>
      <c r="BC131" s="118">
        <f>BB131/[2]Popn!$E$42*1000</f>
        <v>0</v>
      </c>
      <c r="BG131" s="144"/>
      <c r="BR131" s="314"/>
      <c r="BS131" s="314"/>
      <c r="BT131" s="317"/>
      <c r="BU131" s="317"/>
      <c r="BV131" s="317"/>
      <c r="BW131" s="317"/>
      <c r="BX131" s="317"/>
      <c r="BY131" s="317"/>
      <c r="BZ131" s="317"/>
      <c r="CA131" s="317"/>
      <c r="CB131" s="6"/>
      <c r="CC131" s="6"/>
    </row>
    <row r="132" spans="1:81" s="106" customFormat="1">
      <c r="A132" s="699"/>
      <c r="B132" s="37" t="s">
        <v>8</v>
      </c>
      <c r="C132" s="129" t="s">
        <v>8</v>
      </c>
      <c r="D132" s="109"/>
      <c r="E132" s="110"/>
      <c r="F132" s="110"/>
      <c r="G132" s="111"/>
      <c r="H132" s="110"/>
      <c r="I132" s="112">
        <f>D144*'[2]Lfill en &amp; composn'!B$138</f>
        <v>81721.92616965757</v>
      </c>
      <c r="J132" s="113">
        <f>(E144-J140)*SUM('[2]C&amp;I composn'!$D$23:$D$24)</f>
        <v>10605.000129215046</v>
      </c>
      <c r="K132" s="113">
        <f>(F144-K140)*'[2]Lfill en &amp; composn'!C$149</f>
        <v>6930.6629164048463</v>
      </c>
      <c r="L132" s="114">
        <f>SUM(I132:K132)</f>
        <v>99257.589215277461</v>
      </c>
      <c r="M132" s="110"/>
      <c r="N132" s="112">
        <f>I132</f>
        <v>81721.92616965757</v>
      </c>
      <c r="O132" s="113">
        <f t="shared" si="55"/>
        <v>10605.000129215046</v>
      </c>
      <c r="P132" s="113">
        <f t="shared" si="56"/>
        <v>6930.6629164048463</v>
      </c>
      <c r="Q132" s="114">
        <f>SUM(N132:P132)</f>
        <v>99257.589215277461</v>
      </c>
      <c r="R132" s="118">
        <f>Q132/[2]Popn!$E$42*1000</f>
        <v>22.538763957487866</v>
      </c>
      <c r="T132" s="109"/>
      <c r="U132" s="110"/>
      <c r="V132" s="110"/>
      <c r="W132" s="199"/>
      <c r="X132" s="198"/>
      <c r="Y132" s="198"/>
      <c r="Z132" s="198"/>
      <c r="AA132" s="276"/>
      <c r="AB132" s="113"/>
      <c r="AC132" s="113"/>
      <c r="AD132" s="113"/>
      <c r="AE132" s="113">
        <f>SUM(T144:V144)*[2]QLD!$E$106</f>
        <v>76373.737074725039</v>
      </c>
      <c r="AF132" s="567"/>
      <c r="AJ132" s="114">
        <f>AE132</f>
        <v>76373.737074725039</v>
      </c>
      <c r="AK132" s="118">
        <f>AJ132/[2]Popn!$E$42*1000</f>
        <v>17.342448533028836</v>
      </c>
      <c r="AL132" s="119"/>
      <c r="AM132" s="109"/>
      <c r="AN132" s="110"/>
      <c r="AO132" s="110"/>
      <c r="AP132" s="111"/>
      <c r="AQ132" s="116"/>
      <c r="AR132" s="113"/>
      <c r="AS132" s="113"/>
      <c r="AT132" s="113"/>
      <c r="AU132" s="120"/>
      <c r="AV132" s="113"/>
      <c r="AW132" s="114"/>
      <c r="AX132" s="110"/>
      <c r="AY132" s="237"/>
      <c r="BB132" s="113"/>
      <c r="BC132" s="121"/>
      <c r="BG132" s="144"/>
      <c r="BR132" s="314"/>
      <c r="BS132" s="314"/>
      <c r="BT132" s="314"/>
      <c r="BU132" s="317"/>
      <c r="BV132" s="317"/>
      <c r="BW132" s="317"/>
      <c r="BX132" s="317"/>
      <c r="BY132" s="317"/>
      <c r="BZ132" s="317"/>
      <c r="CA132" s="317"/>
      <c r="CB132" s="6"/>
      <c r="CC132" s="6"/>
    </row>
    <row r="133" spans="1:81">
      <c r="A133" s="699"/>
      <c r="B133" s="23" t="s">
        <v>7</v>
      </c>
      <c r="C133" s="17" t="s">
        <v>9</v>
      </c>
      <c r="D133" s="57"/>
      <c r="E133" s="2"/>
      <c r="F133" s="2"/>
      <c r="G133" s="63"/>
      <c r="H133" s="2"/>
      <c r="I133" s="20"/>
      <c r="J133" s="21">
        <f>(E144-J140)*'[2]C&amp;I composn'!$D$25</f>
        <v>21610.629305667288</v>
      </c>
      <c r="K133" s="21"/>
      <c r="L133" s="22"/>
      <c r="M133" s="2"/>
      <c r="N133" s="20"/>
      <c r="O133" s="21"/>
      <c r="P133" s="21"/>
      <c r="Q133" s="22"/>
      <c r="R133" s="29"/>
      <c r="T133" s="57"/>
      <c r="U133" s="2"/>
      <c r="V133" s="2"/>
      <c r="W133" s="199"/>
      <c r="X133" s="198"/>
      <c r="Y133" s="198"/>
      <c r="Z133" s="198"/>
      <c r="AA133" s="274"/>
      <c r="AB133" s="21"/>
      <c r="AC133" s="21"/>
      <c r="AD133" s="21"/>
      <c r="AE133" s="21"/>
      <c r="AF133" s="355"/>
      <c r="AG133" s="20"/>
      <c r="AH133" s="21"/>
      <c r="AI133" s="21"/>
      <c r="AJ133" s="22"/>
      <c r="AK133" s="29"/>
      <c r="AL133" s="19"/>
      <c r="AM133" s="57"/>
      <c r="AN133" s="2"/>
      <c r="AO133" s="2"/>
      <c r="AP133" s="63"/>
      <c r="AQ133" s="68"/>
      <c r="AR133" s="21"/>
      <c r="AS133" s="35"/>
      <c r="AT133" s="21"/>
      <c r="AU133" s="25"/>
      <c r="AV133" s="21"/>
      <c r="AW133" s="22"/>
      <c r="AX133" s="2"/>
      <c r="AY133" s="238"/>
      <c r="BB133" s="21"/>
      <c r="BC133" s="29"/>
      <c r="BR133" s="337"/>
      <c r="BS133" s="337"/>
      <c r="BT133" s="337"/>
      <c r="BU133" s="338" t="s">
        <v>2</v>
      </c>
      <c r="BV133" s="337"/>
      <c r="BW133" s="337"/>
      <c r="BX133" s="337"/>
      <c r="BY133" s="314"/>
      <c r="BZ133" s="314"/>
      <c r="CA133" s="314"/>
    </row>
    <row r="134" spans="1:81">
      <c r="A134" s="699"/>
      <c r="B134" s="23"/>
      <c r="C134" s="17" t="s">
        <v>10</v>
      </c>
      <c r="D134" s="57"/>
      <c r="E134" s="2"/>
      <c r="F134" s="2"/>
      <c r="G134" s="63"/>
      <c r="H134" s="2"/>
      <c r="I134" s="20"/>
      <c r="J134" s="21">
        <f>(E144-J140)*'[2]C&amp;I composn'!$D$26</f>
        <v>7986.8198476362322</v>
      </c>
      <c r="K134" s="21"/>
      <c r="L134" s="22"/>
      <c r="M134" s="2"/>
      <c r="N134" s="20"/>
      <c r="O134" s="21"/>
      <c r="P134" s="21"/>
      <c r="Q134" s="22"/>
      <c r="R134" s="305"/>
      <c r="T134" s="57"/>
      <c r="U134" s="2"/>
      <c r="V134" s="2"/>
      <c r="W134" s="199"/>
      <c r="X134" s="198"/>
      <c r="Y134" s="198"/>
      <c r="Z134" s="198"/>
      <c r="AA134" s="274"/>
      <c r="AB134" s="21"/>
      <c r="AC134" s="21"/>
      <c r="AD134" s="21"/>
      <c r="AE134" s="21">
        <f>SUM(T144:V144)*[2]QLD!$E$107</f>
        <v>36540.882824545173</v>
      </c>
      <c r="AF134" s="355"/>
      <c r="AG134" s="20"/>
      <c r="AH134" s="21"/>
      <c r="AI134" s="21"/>
      <c r="AJ134" s="22">
        <f>AE134</f>
        <v>36540.882824545173</v>
      </c>
      <c r="AK134" s="29">
        <f>AJ134/[2]Popn!$E$42*1000</f>
        <v>8.2974645998543153</v>
      </c>
      <c r="AL134" s="19"/>
      <c r="AM134" s="57"/>
      <c r="AN134" s="2"/>
      <c r="AO134" s="2"/>
      <c r="AP134" s="63"/>
      <c r="AQ134" s="68"/>
      <c r="AR134" s="21"/>
      <c r="AS134" s="21"/>
      <c r="AT134" s="21"/>
      <c r="AU134" s="240"/>
      <c r="AV134" s="21"/>
      <c r="AW134" s="195"/>
      <c r="AX134" s="2"/>
      <c r="AY134" s="238"/>
      <c r="BB134" s="21"/>
      <c r="BC134" s="29"/>
      <c r="BR134" s="337"/>
      <c r="BS134" s="337"/>
      <c r="BT134" s="337"/>
      <c r="BU134" s="337"/>
      <c r="BV134" s="339" t="s">
        <v>72</v>
      </c>
      <c r="BW134" s="339" t="s">
        <v>68</v>
      </c>
      <c r="BX134" s="339" t="s">
        <v>69</v>
      </c>
      <c r="BY134" s="337"/>
      <c r="BZ134" s="337"/>
      <c r="CA134" s="337"/>
    </row>
    <row r="135" spans="1:81" s="106" customFormat="1">
      <c r="A135" s="699"/>
      <c r="B135" s="107" t="s">
        <v>67</v>
      </c>
      <c r="C135" s="108"/>
      <c r="D135" s="109"/>
      <c r="E135" s="110"/>
      <c r="F135" s="110"/>
      <c r="G135" s="111"/>
      <c r="H135" s="110"/>
      <c r="I135" s="112">
        <f>D144*'[2]Lfill en &amp; composn'!B$139</f>
        <v>42275.875</v>
      </c>
      <c r="J135" s="113">
        <f>SUM(J133:J134)</f>
        <v>29597.449153303518</v>
      </c>
      <c r="K135" s="113">
        <f>(F144-K140)*'[2]Lfill en &amp; composn'!C$150</f>
        <v>0</v>
      </c>
      <c r="L135" s="114">
        <f>SUM(I135:K135)</f>
        <v>71873.324153303518</v>
      </c>
      <c r="M135" s="110"/>
      <c r="N135" s="112">
        <f>I135-AU135</f>
        <v>39720.802912176725</v>
      </c>
      <c r="O135" s="113">
        <f t="shared" ref="O135" si="57">J135-AV135</f>
        <v>27808.636592892301</v>
      </c>
      <c r="P135" s="113">
        <f t="shared" ref="P135" si="58">K135-AW135</f>
        <v>0</v>
      </c>
      <c r="Q135" s="114">
        <f>SUM(N135:P135)</f>
        <v>67529.439505069022</v>
      </c>
      <c r="R135" s="118">
        <f>Q135/[2]Popn!$E$42*1000</f>
        <v>15.334143305506961</v>
      </c>
      <c r="T135" s="109"/>
      <c r="U135" s="110"/>
      <c r="V135" s="110"/>
      <c r="W135" s="203"/>
      <c r="X135" s="130"/>
      <c r="Y135" s="130"/>
      <c r="Z135" s="130"/>
      <c r="AA135" s="276"/>
      <c r="AB135" s="113"/>
      <c r="AC135" s="113"/>
      <c r="AD135" s="113"/>
      <c r="AE135" s="113"/>
      <c r="AF135" s="567"/>
      <c r="AG135" s="112"/>
      <c r="AH135" s="113"/>
      <c r="AI135" s="113"/>
      <c r="AJ135" s="114">
        <f>SUM(AJ133:AJ134)</f>
        <v>36540.882824545173</v>
      </c>
      <c r="AK135" s="115">
        <f>AJ135/[2]Popn!$E$42*1000</f>
        <v>8.2974645998543153</v>
      </c>
      <c r="AL135" s="119"/>
      <c r="AM135" s="109"/>
      <c r="AN135" s="110"/>
      <c r="AO135" s="110"/>
      <c r="AP135" s="111"/>
      <c r="AQ135" s="116"/>
      <c r="AR135" s="113">
        <f>L135*'[2]Lfill en &amp; composn'!$D$25</f>
        <v>11320.048554145304</v>
      </c>
      <c r="AS135" s="113">
        <f>AR135/SUM($AR$101:$AR$143)</f>
        <v>3.8580883911574382E-2</v>
      </c>
      <c r="AT135" s="113">
        <f>AS135*'[2]Lfill en &amp; composn'!$E$64/'[2]Lfill en &amp; composn'!$B$25</f>
        <v>4343.8846482344934</v>
      </c>
      <c r="AU135" s="120">
        <f>$AT135*I135/SUM($I135:$K135)</f>
        <v>2555.0720878232773</v>
      </c>
      <c r="AV135" s="113">
        <f>$AT135*J135/SUM($I135:$K135)</f>
        <v>1788.8125604112161</v>
      </c>
      <c r="AW135" s="114">
        <f>$AT135*K135/SUM($I135:$K135)</f>
        <v>0</v>
      </c>
      <c r="AX135" s="110"/>
      <c r="AY135" s="241">
        <f>AU135</f>
        <v>2555.0720878232773</v>
      </c>
      <c r="AZ135" s="242">
        <f>AV135</f>
        <v>1788.8125604112161</v>
      </c>
      <c r="BA135" s="242">
        <f>AW135</f>
        <v>0</v>
      </c>
      <c r="BB135" s="243">
        <f>SUM(AY135:BA135)</f>
        <v>4343.8846482344934</v>
      </c>
      <c r="BC135" s="118">
        <f>BB135/[2]Popn!$E$42*1000</f>
        <v>0.98638090567328685</v>
      </c>
      <c r="BD135" s="122"/>
      <c r="BG135" s="144"/>
      <c r="BR135" s="337"/>
      <c r="BS135" s="337"/>
      <c r="BT135" s="337"/>
      <c r="BU135" s="351" t="s">
        <v>101</v>
      </c>
      <c r="BV135" s="341">
        <f>BH166</f>
        <v>1542.8727350600705</v>
      </c>
      <c r="BW135" s="341">
        <f>BI166</f>
        <v>1092.9907042861546</v>
      </c>
      <c r="BX135" s="341">
        <f>BJ166</f>
        <v>293.69883272456815</v>
      </c>
      <c r="BY135" s="337"/>
      <c r="BZ135" s="337"/>
      <c r="CA135" s="337"/>
      <c r="CB135" s="6"/>
      <c r="CC135" s="6"/>
    </row>
    <row r="136" spans="1:81">
      <c r="A136" s="699"/>
      <c r="B136" s="23" t="s">
        <v>11</v>
      </c>
      <c r="C136" s="17" t="s">
        <v>12</v>
      </c>
      <c r="D136" s="57"/>
      <c r="E136" s="2"/>
      <c r="F136" s="2"/>
      <c r="G136" s="63"/>
      <c r="H136" s="2"/>
      <c r="I136" s="20"/>
      <c r="J136" s="21"/>
      <c r="K136" s="21"/>
      <c r="L136" s="22"/>
      <c r="M136" s="256"/>
      <c r="N136" s="20"/>
      <c r="O136" s="21"/>
      <c r="P136" s="21"/>
      <c r="Q136" s="22"/>
      <c r="R136" s="305"/>
      <c r="T136" s="57"/>
      <c r="U136" s="2"/>
      <c r="V136" s="2"/>
      <c r="W136" s="199"/>
      <c r="X136" s="198"/>
      <c r="Y136" s="198"/>
      <c r="Z136" s="198"/>
      <c r="AA136" s="274"/>
      <c r="AB136" s="21"/>
      <c r="AC136" s="21"/>
      <c r="AD136" s="21"/>
      <c r="AE136" s="21"/>
      <c r="AF136" s="569" t="s">
        <v>96</v>
      </c>
      <c r="AG136" s="20"/>
      <c r="AH136" s="21"/>
      <c r="AI136" s="21"/>
      <c r="AJ136" s="22"/>
      <c r="AK136" s="29"/>
      <c r="AL136" s="19"/>
      <c r="AM136" s="57"/>
      <c r="AN136" s="2"/>
      <c r="AO136" s="2"/>
      <c r="AP136" s="63"/>
      <c r="AQ136" s="68"/>
      <c r="AR136" s="21"/>
      <c r="AS136" s="21"/>
      <c r="AT136" s="21"/>
      <c r="AU136" s="25"/>
      <c r="AV136" s="21"/>
      <c r="AW136" s="22"/>
      <c r="AX136" s="256" t="s">
        <v>96</v>
      </c>
      <c r="AY136" s="23"/>
      <c r="AZ136" s="19"/>
      <c r="BA136" s="19"/>
      <c r="BB136" s="19"/>
      <c r="BC136" s="24"/>
      <c r="BR136" s="337"/>
      <c r="BS136" s="337"/>
      <c r="BT136" s="337"/>
      <c r="BU136" s="352" t="s">
        <v>102</v>
      </c>
      <c r="BV136" s="341">
        <f>BH119</f>
        <v>1426.9760516511492</v>
      </c>
      <c r="BW136" s="341">
        <f>BI119</f>
        <v>916.79804183369288</v>
      </c>
      <c r="BX136" s="341">
        <f>BJ119</f>
        <v>307.29869790858089</v>
      </c>
      <c r="BY136" s="337"/>
      <c r="BZ136" s="337"/>
      <c r="CA136" s="337"/>
    </row>
    <row r="137" spans="1:81">
      <c r="A137" s="699"/>
      <c r="B137" s="23"/>
      <c r="C137" s="17" t="s">
        <v>13</v>
      </c>
      <c r="D137" s="57"/>
      <c r="E137" s="2"/>
      <c r="F137" s="2"/>
      <c r="G137" s="156">
        <f>[2]QLD!$D$19</f>
        <v>501026</v>
      </c>
      <c r="H137" s="3"/>
      <c r="I137" s="20"/>
      <c r="J137" s="21"/>
      <c r="K137" s="21">
        <f>G137</f>
        <v>501026</v>
      </c>
      <c r="L137" s="22">
        <f>K137</f>
        <v>501026</v>
      </c>
      <c r="M137" s="256" t="s">
        <v>95</v>
      </c>
      <c r="N137" s="20"/>
      <c r="O137" s="21"/>
      <c r="P137" s="21">
        <f>K137</f>
        <v>501026</v>
      </c>
      <c r="Q137" s="22">
        <f>SUM(N137:P137)</f>
        <v>501026</v>
      </c>
      <c r="R137" s="29"/>
      <c r="T137" s="57"/>
      <c r="U137" s="2"/>
      <c r="V137" s="2"/>
      <c r="W137" s="199"/>
      <c r="X137" s="198"/>
      <c r="Y137" s="198"/>
      <c r="Z137" s="198"/>
      <c r="AA137" s="282"/>
      <c r="AB137" s="21"/>
      <c r="AC137" s="21"/>
      <c r="AD137" s="21"/>
      <c r="AE137" s="21"/>
      <c r="AF137" s="569" t="s">
        <v>95</v>
      </c>
      <c r="AG137" s="20"/>
      <c r="AH137" s="21"/>
      <c r="AI137" s="21"/>
      <c r="AJ137" s="22"/>
      <c r="AK137" s="29"/>
      <c r="AL137" s="19"/>
      <c r="AM137" s="57"/>
      <c r="AN137" s="2"/>
      <c r="AO137" s="2"/>
      <c r="AP137" s="64"/>
      <c r="AQ137" s="69"/>
      <c r="AR137" s="21"/>
      <c r="AS137" s="21"/>
      <c r="AT137" s="21"/>
      <c r="AU137" s="25"/>
      <c r="AV137" s="21"/>
      <c r="AW137" s="22"/>
      <c r="AX137" s="256" t="s">
        <v>95</v>
      </c>
      <c r="AY137" s="20"/>
      <c r="AZ137" s="21"/>
      <c r="BA137" s="21"/>
      <c r="BB137" s="21"/>
      <c r="BC137" s="24"/>
      <c r="BR137" s="337"/>
      <c r="BS137" s="337"/>
      <c r="BT137" s="337"/>
      <c r="BU137" s="351" t="s">
        <v>103</v>
      </c>
      <c r="BV137" s="341">
        <f>BH72</f>
        <v>1313.3392419202617</v>
      </c>
      <c r="BW137" s="341">
        <f>BI72</f>
        <v>1102.1764718881691</v>
      </c>
      <c r="BX137" s="341">
        <f>BJ72</f>
        <v>309.46953970365399</v>
      </c>
      <c r="BY137" s="337"/>
      <c r="BZ137" s="337"/>
      <c r="CA137" s="337"/>
    </row>
    <row r="138" spans="1:81">
      <c r="A138" s="699"/>
      <c r="B138" s="23"/>
      <c r="C138" s="17" t="s">
        <v>14</v>
      </c>
      <c r="D138" s="57"/>
      <c r="E138" s="2"/>
      <c r="F138" s="2"/>
      <c r="G138" s="156">
        <f>'[2]Haz-Qld'!$F$25</f>
        <v>182276</v>
      </c>
      <c r="H138" s="3"/>
      <c r="I138" s="20"/>
      <c r="J138" s="21">
        <f>G138</f>
        <v>182276</v>
      </c>
      <c r="K138" s="21"/>
      <c r="L138" s="22">
        <f>J138</f>
        <v>182276</v>
      </c>
      <c r="M138" s="256" t="s">
        <v>96</v>
      </c>
      <c r="N138" s="20"/>
      <c r="O138" s="21">
        <f>J138</f>
        <v>182276</v>
      </c>
      <c r="P138" s="21"/>
      <c r="Q138" s="22">
        <f>SUM(N138:P138)</f>
        <v>182276</v>
      </c>
      <c r="R138" s="29"/>
      <c r="T138" s="57"/>
      <c r="U138" s="2"/>
      <c r="V138" s="2"/>
      <c r="W138" s="199">
        <f>'[2]Haz-Qld'!$T$25</f>
        <v>69879</v>
      </c>
      <c r="X138" s="198"/>
      <c r="Y138" s="198"/>
      <c r="Z138" s="198"/>
      <c r="AA138" s="282"/>
      <c r="AB138" s="21"/>
      <c r="AC138" s="21"/>
      <c r="AD138" s="21"/>
      <c r="AE138" s="21"/>
      <c r="AF138" s="569" t="s">
        <v>96</v>
      </c>
      <c r="AG138" s="20"/>
      <c r="AH138" s="21">
        <f>W138</f>
        <v>69879</v>
      </c>
      <c r="AI138" s="21"/>
      <c r="AJ138" s="22">
        <f>SUM(AG138:AI138)</f>
        <v>69879</v>
      </c>
      <c r="AK138" s="29">
        <f>AJ138/[2]Popn!$E$42*1000</f>
        <v>15.867666130489466</v>
      </c>
      <c r="AL138" s="19"/>
      <c r="AM138" s="57"/>
      <c r="AN138" s="2"/>
      <c r="AO138" s="2"/>
      <c r="AP138" s="254">
        <f>'[2]Haz-Qld'!$M$25</f>
        <v>10630</v>
      </c>
      <c r="AQ138" s="69"/>
      <c r="AR138" s="21"/>
      <c r="AS138" s="21"/>
      <c r="AT138" s="21"/>
      <c r="AU138" s="25"/>
      <c r="AV138" s="21"/>
      <c r="AW138" s="22"/>
      <c r="AX138" s="256" t="s">
        <v>96</v>
      </c>
      <c r="AY138" s="23"/>
      <c r="AZ138" s="21">
        <f>AP138</f>
        <v>10630</v>
      </c>
      <c r="BA138" s="19"/>
      <c r="BB138" s="641">
        <f>SUM(AY138:BA138)</f>
        <v>10630</v>
      </c>
      <c r="BC138" s="24"/>
      <c r="BR138" s="340"/>
      <c r="BS138" s="340"/>
      <c r="BT138" s="340"/>
      <c r="BU138" s="351" t="s">
        <v>181</v>
      </c>
      <c r="BV138" s="341">
        <f>BH25</f>
        <v>1567.7139634978898</v>
      </c>
      <c r="BW138" s="341">
        <f>BI25</f>
        <v>890.19202073332644</v>
      </c>
      <c r="BX138" s="341">
        <f>BJ25</f>
        <v>304.25910396035897</v>
      </c>
      <c r="BY138" s="337"/>
      <c r="BZ138" s="337"/>
      <c r="CA138" s="337"/>
    </row>
    <row r="139" spans="1:81">
      <c r="A139" s="699"/>
      <c r="B139" s="23"/>
      <c r="C139" s="17" t="s">
        <v>15</v>
      </c>
      <c r="D139" s="57"/>
      <c r="E139" s="2"/>
      <c r="F139" s="2"/>
      <c r="G139" s="156">
        <f>'[2]Haz-Qld'!$F$26</f>
        <v>67597</v>
      </c>
      <c r="H139" s="3"/>
      <c r="I139" s="20"/>
      <c r="J139" s="21">
        <f>G139</f>
        <v>67597</v>
      </c>
      <c r="K139" s="21"/>
      <c r="L139" s="22">
        <f>G139</f>
        <v>67597</v>
      </c>
      <c r="M139" s="256" t="s">
        <v>96</v>
      </c>
      <c r="N139" s="20"/>
      <c r="O139" s="21">
        <f>J139</f>
        <v>67597</v>
      </c>
      <c r="P139" s="21"/>
      <c r="Q139" s="22">
        <f>SUM(N139:P139)</f>
        <v>67597</v>
      </c>
      <c r="R139" s="29"/>
      <c r="T139" s="57"/>
      <c r="U139" s="2"/>
      <c r="V139" s="2"/>
      <c r="W139" s="199"/>
      <c r="X139" s="198"/>
      <c r="Y139" s="198"/>
      <c r="Z139" s="198"/>
      <c r="AA139" s="282"/>
      <c r="AB139" s="21"/>
      <c r="AC139" s="21"/>
      <c r="AD139" s="21"/>
      <c r="AE139" s="21"/>
      <c r="AF139" s="569" t="s">
        <v>94</v>
      </c>
      <c r="AG139" s="20"/>
      <c r="AH139" s="21"/>
      <c r="AI139" s="21"/>
      <c r="AJ139" s="22"/>
      <c r="AK139" s="29"/>
      <c r="AL139" s="19"/>
      <c r="AM139" s="57"/>
      <c r="AN139" s="2"/>
      <c r="AO139" s="2"/>
      <c r="AP139" s="64"/>
      <c r="AQ139" s="69"/>
      <c r="AR139" s="21"/>
      <c r="AS139" s="21"/>
      <c r="AT139" s="21"/>
      <c r="AU139" s="25"/>
      <c r="AV139" s="21"/>
      <c r="AW139" s="22"/>
      <c r="AX139" s="256" t="s">
        <v>94</v>
      </c>
      <c r="AY139" s="23"/>
      <c r="AZ139" s="19"/>
      <c r="BA139" s="19"/>
      <c r="BB139" s="21"/>
      <c r="BC139" s="24"/>
      <c r="BR139" s="340"/>
      <c r="BS139" s="340"/>
      <c r="BT139" s="340"/>
      <c r="BU139" s="340"/>
      <c r="BV139" s="340"/>
      <c r="BW139" s="340"/>
      <c r="BX139" s="340"/>
      <c r="BY139" s="340"/>
      <c r="BZ139" s="340"/>
      <c r="CA139" s="340"/>
    </row>
    <row r="140" spans="1:81" s="106" customFormat="1">
      <c r="A140" s="699"/>
      <c r="B140" s="107" t="s">
        <v>67</v>
      </c>
      <c r="C140" s="108"/>
      <c r="D140" s="109"/>
      <c r="E140" s="110"/>
      <c r="F140" s="110"/>
      <c r="G140" s="124"/>
      <c r="H140" s="125"/>
      <c r="I140" s="112">
        <f>D144*'[2]Lfill en &amp; composn'!B$140</f>
        <v>29352.733354700365</v>
      </c>
      <c r="J140" s="113">
        <f>SUM(J136:J139)</f>
        <v>249873</v>
      </c>
      <c r="K140" s="113">
        <f>SUM(K136:K139)</f>
        <v>501026</v>
      </c>
      <c r="L140" s="114">
        <f>SUM(I140:K140)</f>
        <v>780251.73335470038</v>
      </c>
      <c r="M140" s="110"/>
      <c r="N140" s="112">
        <f>I140</f>
        <v>29352.733354700365</v>
      </c>
      <c r="O140" s="113">
        <f t="shared" ref="O140" si="59">J140</f>
        <v>249873</v>
      </c>
      <c r="P140" s="113">
        <f t="shared" ref="P140" si="60">K140</f>
        <v>501026</v>
      </c>
      <c r="Q140" s="114">
        <f>SUM(N140:P140)</f>
        <v>780251.73335470038</v>
      </c>
      <c r="R140" s="118">
        <f>Q140/[2]Popn!$E$42*1000</f>
        <v>177.17445874451661</v>
      </c>
      <c r="T140" s="109"/>
      <c r="U140" s="110"/>
      <c r="V140" s="110"/>
      <c r="W140" s="203"/>
      <c r="X140" s="130"/>
      <c r="Y140" s="130"/>
      <c r="Z140" s="130"/>
      <c r="AA140" s="284"/>
      <c r="AB140" s="113"/>
      <c r="AC140" s="113"/>
      <c r="AD140" s="113"/>
      <c r="AE140" s="113"/>
      <c r="AF140" s="567"/>
      <c r="AG140" s="112"/>
      <c r="AH140" s="113"/>
      <c r="AI140" s="113"/>
      <c r="AJ140" s="114">
        <f>SUM(AJ136:AJ139)</f>
        <v>69879</v>
      </c>
      <c r="AK140" s="115">
        <f>AJ140/[2]Popn!$E$42*1000</f>
        <v>15.867666130489466</v>
      </c>
      <c r="AL140" s="119"/>
      <c r="AM140" s="109"/>
      <c r="AN140" s="110"/>
      <c r="AO140" s="110"/>
      <c r="AP140" s="124"/>
      <c r="AQ140" s="126"/>
      <c r="AR140" s="113"/>
      <c r="AS140" s="113"/>
      <c r="AT140" s="113"/>
      <c r="AU140" s="120"/>
      <c r="AV140" s="113"/>
      <c r="AW140" s="114"/>
      <c r="AX140" s="110"/>
      <c r="AY140" s="127"/>
      <c r="AZ140" s="113">
        <f t="shared" ref="AZ140" si="61">SUM(AZ136:AZ139)</f>
        <v>10630</v>
      </c>
      <c r="BA140" s="119"/>
      <c r="BB140" s="243">
        <f>SUM(AY140:BA140)</f>
        <v>10630</v>
      </c>
      <c r="BC140" s="121"/>
      <c r="BG140" s="144"/>
      <c r="BR140" s="337"/>
      <c r="BS140" s="337"/>
      <c r="BT140" s="337"/>
      <c r="BU140" s="340"/>
      <c r="BV140" s="340"/>
      <c r="BW140" s="340"/>
      <c r="BX140" s="340"/>
      <c r="BY140" s="340"/>
      <c r="BZ140" s="340"/>
      <c r="CA140" s="340"/>
      <c r="CB140" s="6"/>
      <c r="CC140" s="6"/>
    </row>
    <row r="141" spans="1:81" s="106" customFormat="1" ht="13.5" thickBot="1">
      <c r="A141" s="699"/>
      <c r="B141" s="131" t="s">
        <v>37</v>
      </c>
      <c r="C141" s="132" t="s">
        <v>1</v>
      </c>
      <c r="D141" s="109"/>
      <c r="E141" s="110"/>
      <c r="F141" s="110"/>
      <c r="G141" s="203">
        <f>[2]QLD!$D$27</f>
        <v>4908337</v>
      </c>
      <c r="H141" s="130"/>
      <c r="I141" s="112"/>
      <c r="J141" s="113"/>
      <c r="K141" s="113"/>
      <c r="L141" s="114">
        <f>G141</f>
        <v>4908337</v>
      </c>
      <c r="M141" s="110"/>
      <c r="N141" s="127"/>
      <c r="O141" s="119"/>
      <c r="P141" s="119"/>
      <c r="Q141" s="113">
        <f>L141</f>
        <v>4908337</v>
      </c>
      <c r="R141" s="118">
        <f>Q141/[2]Popn!$E$42*1000</f>
        <v>1114.5530527329852</v>
      </c>
      <c r="T141" s="109"/>
      <c r="U141" s="110"/>
      <c r="V141" s="110"/>
      <c r="W141" s="203">
        <f>[2]QLD!$I$27</f>
        <v>815432</v>
      </c>
      <c r="X141" s="130"/>
      <c r="Y141" s="130"/>
      <c r="Z141" s="130"/>
      <c r="AA141" s="285"/>
      <c r="AB141" s="113"/>
      <c r="AC141" s="113"/>
      <c r="AD141" s="113"/>
      <c r="AE141" s="113"/>
      <c r="AF141" s="567"/>
      <c r="AG141" s="112"/>
      <c r="AH141" s="113"/>
      <c r="AI141" s="113"/>
      <c r="AJ141" s="114">
        <f>W141</f>
        <v>815432</v>
      </c>
      <c r="AK141" s="115">
        <f>AJ141/[2]Popn!$E$42*1000</f>
        <v>185.16296352433901</v>
      </c>
      <c r="AL141" s="119"/>
      <c r="AM141" s="109"/>
      <c r="AN141" s="110"/>
      <c r="AO141" s="110"/>
      <c r="AP141" s="111"/>
      <c r="AQ141" s="117"/>
      <c r="AR141" s="113"/>
      <c r="AS141" s="113"/>
      <c r="AT141" s="113"/>
      <c r="AU141" s="120"/>
      <c r="AV141" s="113"/>
      <c r="AW141" s="114"/>
      <c r="AX141" s="110"/>
      <c r="AY141" s="127"/>
      <c r="AZ141" s="119"/>
      <c r="BA141" s="119"/>
      <c r="BB141" s="119"/>
      <c r="BC141" s="121"/>
      <c r="BG141" s="144"/>
      <c r="BR141" s="337"/>
      <c r="BS141" s="337"/>
      <c r="BT141" s="337"/>
      <c r="BU141" s="337"/>
      <c r="BV141" s="337"/>
      <c r="BW141" s="337"/>
      <c r="BX141" s="337"/>
      <c r="BY141" s="337"/>
      <c r="BZ141" s="337"/>
      <c r="CA141" s="337"/>
      <c r="CB141" s="6"/>
      <c r="CC141" s="6"/>
    </row>
    <row r="142" spans="1:81"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355"/>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c r="BR142" s="337"/>
      <c r="BS142" s="337"/>
      <c r="BT142" s="337"/>
      <c r="BU142" s="337"/>
      <c r="BV142" s="337"/>
      <c r="BW142" s="337"/>
      <c r="BX142" s="337"/>
      <c r="BY142" s="337"/>
      <c r="BZ142" s="337"/>
      <c r="CA142" s="337"/>
    </row>
    <row r="143" spans="1:81" ht="13.5" thickBot="1">
      <c r="C143" s="210" t="s">
        <v>90</v>
      </c>
      <c r="D143" s="58"/>
      <c r="E143" s="59"/>
      <c r="F143" s="2"/>
      <c r="G143" s="208">
        <f>[2]QLD!$D$28</f>
        <v>4524374</v>
      </c>
      <c r="H143" s="2"/>
      <c r="I143" s="20"/>
      <c r="J143" s="21"/>
      <c r="K143" s="21"/>
      <c r="L143" s="22"/>
      <c r="M143" s="2"/>
      <c r="N143" s="23"/>
      <c r="O143" s="21"/>
      <c r="P143" s="19"/>
      <c r="Q143" s="19"/>
      <c r="R143" s="24"/>
      <c r="T143" s="58"/>
      <c r="U143" s="59"/>
      <c r="V143" s="2"/>
      <c r="W143" s="208">
        <f>SUM([2]QLD!$I$24,[2]QLD!$I$28)</f>
        <v>31400</v>
      </c>
      <c r="X143" s="198"/>
      <c r="Y143" s="198"/>
      <c r="Z143" s="198"/>
      <c r="AA143" s="274"/>
      <c r="AB143" s="21"/>
      <c r="AC143" s="21"/>
      <c r="AD143" s="21"/>
      <c r="AE143" s="21"/>
      <c r="AF143" s="355"/>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19"/>
      <c r="BC143" s="24"/>
      <c r="BR143" s="337"/>
      <c r="BS143" s="337"/>
      <c r="BT143" s="337"/>
      <c r="BU143" s="337"/>
      <c r="BV143" s="337"/>
      <c r="BW143" s="337"/>
      <c r="BX143" s="337"/>
      <c r="BY143" s="337"/>
      <c r="BZ143" s="337"/>
      <c r="CA143" s="337"/>
    </row>
    <row r="144" spans="1:81" ht="13.5" thickBot="1">
      <c r="C144" s="135" t="s">
        <v>92</v>
      </c>
      <c r="D144" s="134">
        <f>[2]QLD!$D$12-[2]QLD!$O$56</f>
        <v>1691035</v>
      </c>
      <c r="E144" s="134">
        <f>[2]QLD!$D$17</f>
        <v>1317985</v>
      </c>
      <c r="F144" s="226">
        <f>[2]QLD!$D$18</f>
        <v>1305863</v>
      </c>
      <c r="G144" s="66"/>
      <c r="H144" s="220"/>
      <c r="I144" s="41">
        <f>SUM(I140,I135,I132,I131,I121,I116,I110,I106)</f>
        <v>1691035</v>
      </c>
      <c r="J144" s="218">
        <f>SUM(J140,J135,J132,J131,J121,J116,J110,J106)</f>
        <v>1317985</v>
      </c>
      <c r="K144" s="218">
        <f>SUM(K140,K135,K132,K131,K121,K116,K110,K106)</f>
        <v>1305863</v>
      </c>
      <c r="L144" s="42">
        <f>SUM(L140,L135,L132,L131,L121,L116,L110,L106)</f>
        <v>4314883</v>
      </c>
      <c r="M144" s="43"/>
      <c r="N144" s="44">
        <f>SUM(N140,N135,N132,N131,N121,N116,N110,N106,N143)</f>
        <v>1601745.2626353528</v>
      </c>
      <c r="O144" s="45">
        <f>SUM(O140,O135,O132,O131,O121,O116,O110,O106,O143)</f>
        <v>1259847.6705585083</v>
      </c>
      <c r="P144" s="45">
        <f>SUM(P140,P135,P132,P131,P121,P116,P110,P106,P143)</f>
        <v>1297195.9311819219</v>
      </c>
      <c r="Q144" s="133">
        <f>SUM(Q140,Q135,Q132,Q131,Q121,Q116,Q110,Q106,Q143)</f>
        <v>4158788.8643757831</v>
      </c>
      <c r="R144" s="27">
        <f>SUM(R140,R135,R132,R131,R121,R116,R110,R106)</f>
        <v>944.35056608011496</v>
      </c>
      <c r="T144" s="60">
        <f>[2]QLD!$I$12</f>
        <v>1216168</v>
      </c>
      <c r="U144" s="134">
        <f>[2]QLD!$I$17</f>
        <v>1105234</v>
      </c>
      <c r="V144" s="134">
        <f>[2]QLD!$I$18</f>
        <v>881357</v>
      </c>
      <c r="W144" s="66"/>
      <c r="X144" s="362"/>
      <c r="Y144" s="362"/>
      <c r="Z144" s="362"/>
      <c r="AA144" s="287"/>
      <c r="AB144" s="45"/>
      <c r="AC144" s="45"/>
      <c r="AD144" s="45"/>
      <c r="AE144" s="45"/>
      <c r="AF144" s="555"/>
      <c r="AG144" s="44">
        <f>$AJ144/SUM($T144:$V144)*T144</f>
        <v>1165856.3418579842</v>
      </c>
      <c r="AH144" s="45">
        <f>$AJ144/SUM($T144:$V144)*U144</f>
        <v>1059511.570882532</v>
      </c>
      <c r="AI144" s="45">
        <f>$AJ144/SUM($T144:$V144)*V144</f>
        <v>844896.13925948343</v>
      </c>
      <c r="AJ144" s="354">
        <f>SUM(AJ140,AJ135,AJ132,AJ131,AJ121,AJ116,AJ110,AJ106,AJ143)</f>
        <v>3070264.0519999997</v>
      </c>
      <c r="AK144" s="27">
        <f>SUM(AK140,AK135,AK132,AK131,AK121,AK116,AK110,AK106,AK143)</f>
        <v>697.17547345525463</v>
      </c>
      <c r="AL144" s="19"/>
      <c r="AM144" s="60"/>
      <c r="AN144" s="706"/>
      <c r="AO144" s="707"/>
      <c r="AP144" s="66"/>
      <c r="AQ144" s="71"/>
      <c r="AR144" s="45">
        <f>SUM(AR101:AR143)</f>
        <v>293410.81402101455</v>
      </c>
      <c r="AS144" s="46">
        <f>SUM(AS101:AS143)</f>
        <v>0.99999999999999978</v>
      </c>
      <c r="AT144" s="45">
        <f>SUM(AT101:AT143)</f>
        <v>275392.83353279775</v>
      </c>
      <c r="AU144" s="47"/>
      <c r="AV144" s="45"/>
      <c r="AW144" s="214"/>
      <c r="AX144" s="43"/>
      <c r="AY144" s="44">
        <f>SUM(AY140,AY135,AY132,AY131,AY121,AY116,AY110,AY106)</f>
        <v>228289.73736464707</v>
      </c>
      <c r="AZ144" s="45">
        <f>SUM(AZ140,AZ135,AZ132,AZ131,AZ121,AZ116,AZ110,AZ106)</f>
        <v>117767.3294414917</v>
      </c>
      <c r="BA144" s="45">
        <f>SUM(BA140,BA135,BA132,BA131,BA121,BA116,BA110,BA106)</f>
        <v>8667.0688180781144</v>
      </c>
      <c r="BB144" s="354">
        <f>SUM(BB140,BB135,BB132,BB131,BB121,BB116,BB110,BB106,BB143)</f>
        <v>354724.13562421687</v>
      </c>
      <c r="BC144" s="27">
        <f>SUM(BC140,BC135,BC132,BC131,BC121,BC116,BC110,BC106,BC143)</f>
        <v>78.134645051366434</v>
      </c>
      <c r="BR144" s="337"/>
      <c r="BS144" s="337"/>
      <c r="BT144" s="337"/>
      <c r="BU144" s="337"/>
      <c r="BV144" s="337"/>
      <c r="BW144" s="337"/>
      <c r="BX144" s="337"/>
      <c r="BY144" s="337"/>
      <c r="BZ144" s="337"/>
      <c r="CA144" s="337"/>
    </row>
    <row r="145" spans="1:81" ht="13.5" thickBot="1">
      <c r="C145" s="136" t="s">
        <v>65</v>
      </c>
      <c r="Q145" s="49">
        <f>Q144+Q141</f>
        <v>9067125.8643757831</v>
      </c>
      <c r="R145" s="216">
        <f>R144+R141</f>
        <v>2058.9036188131004</v>
      </c>
      <c r="AG145" s="217"/>
      <c r="AJ145" s="353">
        <f>AJ144+AJ141</f>
        <v>3885696.0519999997</v>
      </c>
      <c r="AK145" s="216">
        <f>AK144+AK141</f>
        <v>882.33843697959367</v>
      </c>
      <c r="BB145" s="353">
        <f>BB144+BB141</f>
        <v>354724.13562421687</v>
      </c>
      <c r="BC145" s="216">
        <f>BC144+BC141</f>
        <v>78.134645051366434</v>
      </c>
      <c r="BR145" s="337"/>
      <c r="BS145" s="337"/>
      <c r="BT145" s="337"/>
      <c r="BU145" s="337"/>
      <c r="BV145" s="337"/>
      <c r="BW145" s="337"/>
      <c r="BX145" s="337"/>
      <c r="BY145" s="337"/>
      <c r="BZ145" s="337"/>
      <c r="CA145" s="337"/>
    </row>
    <row r="146" spans="1:81">
      <c r="BR146" s="342"/>
      <c r="BS146" s="342"/>
      <c r="BT146" s="342"/>
      <c r="BU146" s="337"/>
      <c r="BV146" s="337"/>
      <c r="BW146" s="337"/>
      <c r="BX146" s="337"/>
      <c r="BY146" s="337"/>
      <c r="BZ146" s="337"/>
      <c r="CA146" s="337"/>
    </row>
    <row r="147" spans="1:81" ht="13.5" thickBot="1">
      <c r="C147" s="89"/>
      <c r="AG147" s="215"/>
      <c r="AH147" s="215"/>
      <c r="AI147" s="215"/>
      <c r="AJ147" s="215"/>
      <c r="AT147" s="215"/>
      <c r="AU147" s="215"/>
      <c r="AV147" s="215"/>
      <c r="AW147" s="215"/>
      <c r="AY147" s="215"/>
      <c r="AZ147" s="215"/>
      <c r="BA147" s="215"/>
      <c r="BB147" s="215"/>
      <c r="BR147" s="343"/>
      <c r="BS147" s="343"/>
      <c r="BT147" s="343"/>
      <c r="BU147" s="342"/>
      <c r="BV147" s="337"/>
      <c r="BW147" s="337"/>
      <c r="BX147" s="337"/>
      <c r="BY147" s="337"/>
      <c r="BZ147" s="337"/>
      <c r="CA147" s="337"/>
    </row>
    <row r="148" spans="1:81">
      <c r="A148" s="699" t="s">
        <v>82</v>
      </c>
      <c r="B148" s="16" t="s">
        <v>3</v>
      </c>
      <c r="C148" s="148" t="s">
        <v>16</v>
      </c>
      <c r="D148" s="55"/>
      <c r="E148" s="56"/>
      <c r="F148" s="56"/>
      <c r="G148" s="149"/>
      <c r="H148" s="150"/>
      <c r="I148" s="151"/>
      <c r="J148" s="26"/>
      <c r="K148" s="26"/>
      <c r="L148" s="133"/>
      <c r="M148" s="56"/>
      <c r="N148" s="16"/>
      <c r="O148" s="18"/>
      <c r="P148" s="18"/>
      <c r="Q148" s="244"/>
      <c r="R148" s="28"/>
      <c r="S148" s="640"/>
      <c r="T148" s="55"/>
      <c r="U148" s="56"/>
      <c r="V148" s="56"/>
      <c r="W148" s="213"/>
      <c r="X148" s="197"/>
      <c r="Y148" s="197"/>
      <c r="Z148" s="197"/>
      <c r="AA148" s="290"/>
      <c r="AB148" s="26"/>
      <c r="AC148" s="26"/>
      <c r="AD148" s="26"/>
      <c r="AE148" s="26"/>
      <c r="AF148" s="566"/>
      <c r="AG148" s="20"/>
      <c r="AH148" s="21"/>
      <c r="AI148" s="21"/>
      <c r="AJ148" s="22"/>
      <c r="AK148" s="27"/>
      <c r="AL148" s="18"/>
      <c r="AM148" s="55"/>
      <c r="AN148" s="56"/>
      <c r="AO148" s="56"/>
      <c r="AP148" s="149"/>
      <c r="AQ148" s="153"/>
      <c r="AR148" s="26"/>
      <c r="AS148" s="26"/>
      <c r="AT148" s="21"/>
      <c r="AU148" s="25"/>
      <c r="AV148" s="21"/>
      <c r="AW148" s="22"/>
      <c r="AX148" s="56"/>
      <c r="AY148" s="23"/>
      <c r="AZ148" s="19"/>
      <c r="BA148" s="19"/>
      <c r="BB148" s="19"/>
      <c r="BC148" s="28"/>
      <c r="BD148" s="8"/>
      <c r="BH148" s="700" t="s">
        <v>190</v>
      </c>
      <c r="BI148" s="701"/>
      <c r="BJ148" s="701"/>
      <c r="BK148" s="701"/>
      <c r="BL148" s="702"/>
      <c r="BM148" s="700" t="s">
        <v>87</v>
      </c>
      <c r="BN148" s="702"/>
      <c r="BP148" s="8"/>
      <c r="BQ148" s="8"/>
      <c r="BR148" s="344"/>
      <c r="BS148" s="345"/>
      <c r="BT148" s="345"/>
      <c r="BU148" s="343"/>
      <c r="BV148" s="337"/>
      <c r="BW148" s="337"/>
      <c r="BX148" s="337"/>
      <c r="BY148" s="337"/>
      <c r="BZ148" s="337"/>
      <c r="CA148" s="337"/>
    </row>
    <row r="149" spans="1:81">
      <c r="A149" s="699"/>
      <c r="B149" s="23"/>
      <c r="C149" s="17" t="s">
        <v>17</v>
      </c>
      <c r="D149" s="57"/>
      <c r="E149" s="2"/>
      <c r="F149" s="2"/>
      <c r="G149" s="63"/>
      <c r="H149" s="5"/>
      <c r="I149" s="20"/>
      <c r="J149" s="21"/>
      <c r="K149" s="21"/>
      <c r="L149" s="22"/>
      <c r="M149" s="2"/>
      <c r="N149" s="23"/>
      <c r="O149" s="19"/>
      <c r="P149" s="19"/>
      <c r="Q149" s="19"/>
      <c r="R149" s="24"/>
      <c r="T149" s="57"/>
      <c r="U149" s="2"/>
      <c r="V149" s="2"/>
      <c r="W149" s="199"/>
      <c r="X149" s="198"/>
      <c r="Y149" s="198"/>
      <c r="Z149" s="198"/>
      <c r="AA149" s="272"/>
      <c r="AB149" s="21"/>
      <c r="AC149" s="21"/>
      <c r="AD149" s="21"/>
      <c r="AE149" s="21"/>
      <c r="AF149" s="355"/>
      <c r="AG149" s="20"/>
      <c r="AH149" s="21"/>
      <c r="AI149" s="21"/>
      <c r="AJ149" s="22"/>
      <c r="AK149" s="29"/>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344"/>
      <c r="BS149" s="345"/>
      <c r="BT149" s="345"/>
      <c r="BU149" s="346"/>
      <c r="BV149" s="337"/>
      <c r="BW149" s="337"/>
      <c r="BX149" s="337"/>
      <c r="BY149" s="337"/>
      <c r="BZ149" s="337"/>
      <c r="CA149" s="337"/>
    </row>
    <row r="150" spans="1:81">
      <c r="A150" s="699"/>
      <c r="B150" s="23"/>
      <c r="C150" s="17" t="s">
        <v>18</v>
      </c>
      <c r="D150" s="57"/>
      <c r="E150" s="2"/>
      <c r="F150" s="2"/>
      <c r="G150" s="63"/>
      <c r="H150" s="5"/>
      <c r="I150" s="20"/>
      <c r="J150" s="21"/>
      <c r="K150" s="21"/>
      <c r="L150" s="22"/>
      <c r="M150" s="2"/>
      <c r="N150" s="23"/>
      <c r="O150" s="19"/>
      <c r="P150" s="19"/>
      <c r="Q150" s="19"/>
      <c r="R150" s="24"/>
      <c r="T150" s="57"/>
      <c r="U150" s="2"/>
      <c r="V150" s="2"/>
      <c r="W150" s="199"/>
      <c r="X150" s="198"/>
      <c r="Y150" s="198"/>
      <c r="Z150" s="198"/>
      <c r="AA150" s="272"/>
      <c r="AB150" s="21"/>
      <c r="AC150" s="21"/>
      <c r="AD150" s="21"/>
      <c r="AE150" s="21"/>
      <c r="AF150" s="355"/>
      <c r="AG150" s="20"/>
      <c r="AH150" s="21"/>
      <c r="AI150" s="21"/>
      <c r="AJ150" s="22"/>
      <c r="AK150" s="29"/>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37"/>
      <c r="BS150" s="337"/>
      <c r="BT150" s="337"/>
      <c r="BU150" s="346"/>
      <c r="BV150" s="337"/>
      <c r="BW150" s="337"/>
      <c r="BX150" s="337"/>
      <c r="BY150" s="337"/>
      <c r="BZ150" s="337"/>
      <c r="CA150" s="337"/>
    </row>
    <row r="151" spans="1:81">
      <c r="A151" s="699"/>
      <c r="B151" s="23"/>
      <c r="C151" s="17" t="s">
        <v>182</v>
      </c>
      <c r="D151" s="57"/>
      <c r="E151" s="2"/>
      <c r="F151" s="2"/>
      <c r="G151" s="63"/>
      <c r="H151" s="2"/>
      <c r="I151" s="20"/>
      <c r="J151" s="21"/>
      <c r="K151" s="21"/>
      <c r="L151" s="22"/>
      <c r="M151" s="2"/>
      <c r="N151" s="23"/>
      <c r="O151" s="19"/>
      <c r="P151" s="19"/>
      <c r="Q151" s="19"/>
      <c r="R151" s="24"/>
      <c r="T151" s="57"/>
      <c r="U151" s="2"/>
      <c r="V151" s="2"/>
      <c r="W151" s="199"/>
      <c r="X151" s="198"/>
      <c r="Y151" s="198"/>
      <c r="Z151" s="198"/>
      <c r="AA151" s="274"/>
      <c r="AB151" s="21"/>
      <c r="AC151" s="21"/>
      <c r="AD151" s="21"/>
      <c r="AE151" s="21"/>
      <c r="AF151" s="355"/>
      <c r="AG151" s="20"/>
      <c r="AH151" s="21"/>
      <c r="AI151" s="21"/>
      <c r="AJ151" s="22"/>
      <c r="AK151" s="29"/>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1734.1131490066516</v>
      </c>
      <c r="BI151" s="52">
        <f>O191/1000</f>
        <v>1309.6544886957292</v>
      </c>
      <c r="BJ151" s="52">
        <f>P191/1000</f>
        <v>1222.9579088575774</v>
      </c>
      <c r="BK151" s="53">
        <f>Q191/1000</f>
        <v>4266.7255465599583</v>
      </c>
      <c r="BL151" s="54">
        <f>R191/1000</f>
        <v>0.98507358145531265</v>
      </c>
      <c r="BM151" s="51">
        <f>Q192/1000</f>
        <v>9180.8145465599591</v>
      </c>
      <c r="BN151" s="54">
        <f>R192/1000</f>
        <v>2.1196061868447069</v>
      </c>
      <c r="BP151" s="30"/>
      <c r="BQ151" s="30"/>
      <c r="BR151" s="340"/>
      <c r="BS151" s="340"/>
      <c r="BT151" s="340"/>
      <c r="BU151" s="337"/>
      <c r="BV151" s="337"/>
      <c r="BW151" s="337"/>
      <c r="BX151" s="337"/>
      <c r="BY151" s="337"/>
      <c r="BZ151" s="337"/>
      <c r="CA151" s="337"/>
    </row>
    <row r="152" spans="1:81">
      <c r="A152" s="699"/>
      <c r="B152" s="23"/>
      <c r="C152" s="17" t="s">
        <v>183</v>
      </c>
      <c r="D152" s="57"/>
      <c r="E152" s="2"/>
      <c r="F152" s="2"/>
      <c r="G152" s="63"/>
      <c r="H152" s="2"/>
      <c r="I152" s="20"/>
      <c r="J152" s="21"/>
      <c r="K152" s="21"/>
      <c r="L152" s="22"/>
      <c r="M152" s="2"/>
      <c r="N152" s="23"/>
      <c r="O152" s="19"/>
      <c r="P152" s="19"/>
      <c r="Q152" s="19"/>
      <c r="R152" s="33"/>
      <c r="T152" s="57"/>
      <c r="U152" s="2"/>
      <c r="V152" s="2"/>
      <c r="W152" s="199"/>
      <c r="X152" s="198"/>
      <c r="Y152" s="198"/>
      <c r="Z152" s="198"/>
      <c r="AA152" s="274"/>
      <c r="AB152" s="21"/>
      <c r="AC152" s="21"/>
      <c r="AD152" s="21"/>
      <c r="AE152" s="21"/>
      <c r="AF152" s="355"/>
      <c r="AG152" s="20"/>
      <c r="AH152" s="21"/>
      <c r="AI152" s="21"/>
      <c r="AJ152" s="22"/>
      <c r="AK152" s="29"/>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1190.8311898427887</v>
      </c>
      <c r="BI152" s="52">
        <f>AH191/1000</f>
        <v>1234.1166531246349</v>
      </c>
      <c r="BJ152" s="52">
        <f>AI191/1000</f>
        <v>1073.3111570325766</v>
      </c>
      <c r="BK152" s="53">
        <f>AJ191/1000</f>
        <v>3498.259</v>
      </c>
      <c r="BL152" s="54">
        <f>AK191/1000</f>
        <v>0.80765507047122997</v>
      </c>
      <c r="BM152" s="51">
        <f>AJ192/1000</f>
        <v>4427.83</v>
      </c>
      <c r="BN152" s="54">
        <f>AK192/1000</f>
        <v>1.0222683199513318</v>
      </c>
      <c r="BR152" s="337"/>
      <c r="BS152" s="337"/>
      <c r="BT152" s="337"/>
      <c r="BU152" s="340"/>
      <c r="BV152" s="340"/>
      <c r="BW152" s="340"/>
      <c r="BX152" s="340"/>
      <c r="BY152" s="340"/>
      <c r="BZ152" s="340"/>
      <c r="CA152" s="340"/>
    </row>
    <row r="153" spans="1:81" s="106" customFormat="1">
      <c r="A153" s="699"/>
      <c r="B153" s="107" t="s">
        <v>67</v>
      </c>
      <c r="C153" s="108"/>
      <c r="D153" s="109"/>
      <c r="E153" s="110"/>
      <c r="F153" s="110"/>
      <c r="G153" s="111"/>
      <c r="H153" s="110"/>
      <c r="I153" s="112">
        <f>D191*'[2]Lfill en &amp; composn'!B$133</f>
        <v>90829.749439145671</v>
      </c>
      <c r="J153" s="113">
        <f>(E191-J187)*'[2]C&amp;I composn'!$D$10</f>
        <v>52627.547277477206</v>
      </c>
      <c r="K153" s="113">
        <f>(F191-K187)*'[2]Lfill en &amp; composn'!C$144</f>
        <v>523272.12027003639</v>
      </c>
      <c r="L153" s="114">
        <f>SUM(I153:K153)</f>
        <v>666729.41698665929</v>
      </c>
      <c r="M153" s="110"/>
      <c r="N153" s="112">
        <f>I153</f>
        <v>90829.749439145671</v>
      </c>
      <c r="O153" s="113">
        <f t="shared" ref="O153" si="62">J153</f>
        <v>52627.547277477206</v>
      </c>
      <c r="P153" s="113">
        <f t="shared" ref="P153" si="63">K153</f>
        <v>523272.12027003639</v>
      </c>
      <c r="Q153" s="114">
        <f>SUM(N153:P153)</f>
        <v>666729.41698665929</v>
      </c>
      <c r="R153" s="118">
        <f>Q153/[2]Popn!$E$41*1000</f>
        <v>153.93011045254292</v>
      </c>
      <c r="T153" s="109"/>
      <c r="U153" s="110"/>
      <c r="V153" s="110"/>
      <c r="W153" s="203"/>
      <c r="X153" s="130"/>
      <c r="Y153" s="130"/>
      <c r="Z153" s="130"/>
      <c r="AA153" s="276"/>
      <c r="AB153" s="113"/>
      <c r="AC153" s="113"/>
      <c r="AD153" s="113"/>
      <c r="AE153" s="113">
        <f>SUM(T191:V191)*[2]QLD!$E$101</f>
        <v>920700.9944495837</v>
      </c>
      <c r="AF153" s="567"/>
      <c r="AG153" s="112"/>
      <c r="AH153" s="113"/>
      <c r="AI153" s="113"/>
      <c r="AJ153" s="114">
        <f>AE153</f>
        <v>920700.9944495837</v>
      </c>
      <c r="AK153" s="115">
        <f>AJ153/[2]Popn!$E$41*1000</f>
        <v>212.56540083370328</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218.88685099334816</v>
      </c>
      <c r="BI153" s="52">
        <f>AZ191/1000</f>
        <v>109.1455113042705</v>
      </c>
      <c r="BJ153" s="52">
        <f>BA191/1000</f>
        <v>6.2000911424223135</v>
      </c>
      <c r="BK153" s="53">
        <f>BB191/1000</f>
        <v>334.23245344004096</v>
      </c>
      <c r="BL153" s="54">
        <f>BC191/1000</f>
        <v>7.5477017055207249E-2</v>
      </c>
      <c r="BM153" s="51">
        <f>BB192/1000</f>
        <v>334.23245344004096</v>
      </c>
      <c r="BN153" s="54">
        <f>BC192/1000</f>
        <v>7.5477017055207249E-2</v>
      </c>
      <c r="BO153" s="6"/>
      <c r="BR153" s="337"/>
      <c r="BS153" s="337"/>
      <c r="BT153" s="337"/>
      <c r="BU153" s="337"/>
      <c r="BV153" s="337"/>
      <c r="BW153" s="337"/>
      <c r="BX153" s="337"/>
      <c r="BY153" s="337"/>
      <c r="BZ153" s="337"/>
      <c r="CA153" s="337"/>
      <c r="CB153" s="6"/>
      <c r="CC153" s="6"/>
    </row>
    <row r="154" spans="1:81">
      <c r="A154" s="699"/>
      <c r="B154" s="23" t="s">
        <v>4</v>
      </c>
      <c r="C154" s="17" t="s">
        <v>19</v>
      </c>
      <c r="D154" s="57"/>
      <c r="E154" s="2"/>
      <c r="F154" s="2"/>
      <c r="G154" s="63"/>
      <c r="H154" s="2"/>
      <c r="I154" s="20"/>
      <c r="J154" s="21">
        <f>(E191-J187)*'[2]C&amp;I composn'!$D$11</f>
        <v>34978.266415335747</v>
      </c>
      <c r="K154" s="21"/>
      <c r="L154" s="22"/>
      <c r="M154" s="2"/>
      <c r="N154" s="23"/>
      <c r="O154" s="19"/>
      <c r="P154" s="19"/>
      <c r="Q154" s="19"/>
      <c r="R154" s="305"/>
      <c r="T154" s="57"/>
      <c r="U154" s="2"/>
      <c r="V154" s="2"/>
      <c r="W154" s="199"/>
      <c r="X154" s="198"/>
      <c r="Y154" s="198"/>
      <c r="Z154" s="198"/>
      <c r="AA154" s="274"/>
      <c r="AB154" s="21"/>
      <c r="AC154" s="21"/>
      <c r="AD154" s="21"/>
      <c r="AE154" s="21"/>
      <c r="AF154" s="355"/>
      <c r="AG154" s="20"/>
      <c r="AH154" s="21"/>
      <c r="AI154" s="21"/>
      <c r="AJ154" s="22"/>
      <c r="AK154" s="29"/>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64">SUM(BH152:BH153)/BH155</f>
        <v>0.44840767703772028</v>
      </c>
      <c r="BI154" s="86">
        <f t="shared" si="64"/>
        <v>0.50633409943233465</v>
      </c>
      <c r="BJ154" s="86">
        <f t="shared" si="64"/>
        <v>0.46884938496473655</v>
      </c>
      <c r="BK154" s="87">
        <f t="shared" si="64"/>
        <v>0.47319283499133818</v>
      </c>
      <c r="BL154" s="87">
        <f t="shared" si="64"/>
        <v>0.47271673680755988</v>
      </c>
      <c r="BM154" s="88">
        <f t="shared" si="64"/>
        <v>0.34154087807272782</v>
      </c>
      <c r="BN154" s="87">
        <f t="shared" si="64"/>
        <v>0.34119533686903819</v>
      </c>
      <c r="BR154" s="337"/>
      <c r="BS154" s="337"/>
      <c r="BT154" s="337"/>
      <c r="BU154" s="337"/>
      <c r="BV154" s="337"/>
      <c r="BW154" s="337"/>
      <c r="BX154" s="337"/>
      <c r="BY154" s="337"/>
      <c r="BZ154" s="337"/>
      <c r="CA154" s="337"/>
    </row>
    <row r="155" spans="1:81">
      <c r="A155" s="699"/>
      <c r="B155" s="23"/>
      <c r="C155" s="17" t="s">
        <v>20</v>
      </c>
      <c r="D155" s="57"/>
      <c r="E155" s="2"/>
      <c r="F155" s="2"/>
      <c r="G155" s="63"/>
      <c r="H155" s="2"/>
      <c r="I155" s="20"/>
      <c r="J155" s="21">
        <f>(E191-J187)*'[2]C&amp;I composn'!$D$12</f>
        <v>4545.0053095862277</v>
      </c>
      <c r="K155" s="21"/>
      <c r="L155" s="22"/>
      <c r="M155" s="2"/>
      <c r="N155" s="23"/>
      <c r="O155" s="19"/>
      <c r="P155" s="19"/>
      <c r="Q155" s="19"/>
      <c r="R155" s="305"/>
      <c r="T155" s="57"/>
      <c r="U155" s="2"/>
      <c r="V155" s="2"/>
      <c r="W155" s="199"/>
      <c r="X155" s="198"/>
      <c r="Y155" s="198"/>
      <c r="Z155" s="198"/>
      <c r="AA155" s="274"/>
      <c r="AB155" s="21"/>
      <c r="AC155" s="21"/>
      <c r="AD155" s="21"/>
      <c r="AE155" s="21"/>
      <c r="AF155" s="355"/>
      <c r="AG155" s="20"/>
      <c r="AH155" s="21"/>
      <c r="AI155" s="21"/>
      <c r="AJ155" s="22"/>
      <c r="AK155" s="29"/>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65">SUM(BH151:BH153)</f>
        <v>3143.8311898427883</v>
      </c>
      <c r="BI155" s="52">
        <f t="shared" si="65"/>
        <v>2652.9166531246351</v>
      </c>
      <c r="BJ155" s="52">
        <f t="shared" si="65"/>
        <v>2302.4691570325763</v>
      </c>
      <c r="BK155" s="74">
        <f t="shared" si="65"/>
        <v>8099.2169999999996</v>
      </c>
      <c r="BL155" s="76">
        <f t="shared" si="65"/>
        <v>1.8682056689817499</v>
      </c>
      <c r="BM155" s="81">
        <f t="shared" si="65"/>
        <v>13942.877</v>
      </c>
      <c r="BN155" s="76">
        <f t="shared" si="65"/>
        <v>3.2173515238512458</v>
      </c>
    </row>
    <row r="156" spans="1:81">
      <c r="A156" s="699"/>
      <c r="B156" s="23"/>
      <c r="C156" s="17" t="s">
        <v>21</v>
      </c>
      <c r="D156" s="57"/>
      <c r="E156" s="2"/>
      <c r="F156" s="2"/>
      <c r="G156" s="63"/>
      <c r="H156" s="2"/>
      <c r="I156" s="20"/>
      <c r="J156" s="21">
        <f>(E191-J187)*'[2]C&amp;I composn'!$D$13</f>
        <v>7.6768879010980173</v>
      </c>
      <c r="K156" s="21"/>
      <c r="L156" s="22"/>
      <c r="M156" s="2"/>
      <c r="N156" s="23"/>
      <c r="O156" s="19"/>
      <c r="P156" s="19"/>
      <c r="Q156" s="19"/>
      <c r="R156" s="305"/>
      <c r="T156" s="57"/>
      <c r="U156" s="2"/>
      <c r="V156" s="2"/>
      <c r="W156" s="199"/>
      <c r="X156" s="198"/>
      <c r="Y156" s="198"/>
      <c r="Z156" s="198"/>
      <c r="AA156" s="274"/>
      <c r="AB156" s="21"/>
      <c r="AC156" s="21"/>
      <c r="AD156" s="21"/>
      <c r="AE156" s="21"/>
      <c r="AF156" s="355"/>
      <c r="AG156" s="20"/>
      <c r="AH156" s="21"/>
      <c r="AI156" s="21"/>
      <c r="AJ156" s="22"/>
      <c r="AK156" s="29"/>
      <c r="AL156" s="19"/>
      <c r="AM156" s="57"/>
      <c r="AN156" s="2"/>
      <c r="AO156" s="2"/>
      <c r="AP156" s="63"/>
      <c r="AQ156" s="68"/>
      <c r="AR156" s="21"/>
      <c r="AS156" s="21"/>
      <c r="AT156" s="21"/>
      <c r="AU156" s="25"/>
      <c r="AV156" s="21"/>
      <c r="AW156" s="22"/>
      <c r="AX156" s="2"/>
      <c r="AY156" s="23"/>
      <c r="AZ156" s="19"/>
      <c r="BA156" s="19"/>
      <c r="BB156" s="19"/>
      <c r="BC156" s="24"/>
      <c r="BD156" s="30"/>
    </row>
    <row r="157" spans="1:81" s="106" customFormat="1">
      <c r="A157" s="699"/>
      <c r="B157" s="107" t="s">
        <v>67</v>
      </c>
      <c r="C157" s="108"/>
      <c r="D157" s="109"/>
      <c r="E157" s="110"/>
      <c r="F157" s="110"/>
      <c r="G157" s="111"/>
      <c r="H157" s="110"/>
      <c r="I157" s="112">
        <f>D191*'[2]Lfill en &amp; composn'!B$134</f>
        <v>63305.500277249106</v>
      </c>
      <c r="J157" s="113">
        <f>SUM(J154:J156)</f>
        <v>39530.948612823071</v>
      </c>
      <c r="K157" s="113">
        <f>(F191-K187)*'[2]Lfill en &amp; composn'!C$145</f>
        <v>32495.607695983093</v>
      </c>
      <c r="L157" s="114">
        <f>SUM(I157:K157)</f>
        <v>135332.05658605526</v>
      </c>
      <c r="M157" s="110"/>
      <c r="N157" s="112">
        <f>I157</f>
        <v>63305.500277249106</v>
      </c>
      <c r="O157" s="113">
        <f t="shared" ref="O157" si="66">J157</f>
        <v>39530.948612823071</v>
      </c>
      <c r="P157" s="113">
        <f t="shared" ref="P157" si="67">K157</f>
        <v>32495.607695983093</v>
      </c>
      <c r="Q157" s="114">
        <f>SUM(N157:P157)</f>
        <v>135332.05658605526</v>
      </c>
      <c r="R157" s="118">
        <f>Q157/[2]Popn!$E$41*1000</f>
        <v>31.244576716311439</v>
      </c>
      <c r="T157" s="109"/>
      <c r="U157" s="110"/>
      <c r="V157" s="110"/>
      <c r="W157" s="203"/>
      <c r="X157" s="130"/>
      <c r="Y157" s="130"/>
      <c r="Z157" s="130"/>
      <c r="AA157" s="276"/>
      <c r="AB157" s="113"/>
      <c r="AC157" s="113"/>
      <c r="AD157" s="113"/>
      <c r="AE157" s="113">
        <f>SUM(T191:V191)*[2]QLD!$E$102</f>
        <v>721458.75732346601</v>
      </c>
      <c r="AF157" s="567"/>
      <c r="AG157" s="112"/>
      <c r="AH157" s="113"/>
      <c r="AI157" s="113"/>
      <c r="AJ157" s="114">
        <f>AE157</f>
        <v>721458.75732346601</v>
      </c>
      <c r="AK157" s="115">
        <f>AJ157/[2]Popn!$E$41*1000</f>
        <v>166.56566122982031</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U157" s="6"/>
      <c r="BV157" s="6"/>
      <c r="BW157" s="6"/>
      <c r="BX157" s="6"/>
      <c r="BY157" s="6"/>
      <c r="BZ157" s="6"/>
      <c r="CA157" s="6"/>
    </row>
    <row r="158" spans="1:81">
      <c r="A158" s="699"/>
      <c r="B158" s="23" t="s">
        <v>2</v>
      </c>
      <c r="C158" s="17" t="s">
        <v>22</v>
      </c>
      <c r="D158" s="57"/>
      <c r="E158" s="2"/>
      <c r="F158" s="2"/>
      <c r="G158" s="63"/>
      <c r="H158" s="2"/>
      <c r="I158" s="20"/>
      <c r="J158" s="21">
        <f>(E191-J187)*'[2]C&amp;I composn'!$D$14</f>
        <v>329985.77094201889</v>
      </c>
      <c r="K158" s="21"/>
      <c r="L158" s="22"/>
      <c r="M158" s="2"/>
      <c r="N158" s="20"/>
      <c r="O158" s="21"/>
      <c r="P158" s="21"/>
      <c r="Q158" s="21"/>
      <c r="R158" s="29"/>
      <c r="T158" s="57"/>
      <c r="U158" s="2"/>
      <c r="V158" s="2"/>
      <c r="W158" s="199"/>
      <c r="X158" s="198"/>
      <c r="Y158" s="198"/>
      <c r="Z158" s="198"/>
      <c r="AA158" s="274"/>
      <c r="AB158" s="21"/>
      <c r="AC158" s="21"/>
      <c r="AD158" s="21"/>
      <c r="AE158" s="21"/>
      <c r="AF158" s="355"/>
      <c r="AG158" s="20"/>
      <c r="AH158" s="21"/>
      <c r="AI158" s="21"/>
      <c r="AJ158" s="22"/>
      <c r="AK158" s="29"/>
      <c r="AL158" s="19"/>
      <c r="AM158" s="57"/>
      <c r="AN158" s="2"/>
      <c r="AO158" s="2"/>
      <c r="AP158" s="63"/>
      <c r="AQ158" s="70"/>
      <c r="AR158" s="21">
        <f>L163*'[2]Lfill en &amp; composn'!$E$82/SUM('[2]Lfill en &amp; composn'!$E$82,'[2]Lfill en &amp; composn'!$E$84:$E$85,'[2]Lfill en &amp; composn'!$E$87:$E$88)*'[2]Lfill en &amp; composn'!$D$16</f>
        <v>112773.89198220387</v>
      </c>
      <c r="AS158" s="35">
        <f>AR158/SUM($AR$148:$AR$190)</f>
        <v>0.35998017529559451</v>
      </c>
      <c r="AT158" s="21">
        <f>AS158*'[2]Lfill en &amp; composn'!$E$62/'[2]Lfill en &amp; composn'!$B$16</f>
        <v>75521.603785034022</v>
      </c>
      <c r="AU158" s="25"/>
      <c r="AV158" s="21"/>
      <c r="AW158" s="22"/>
      <c r="AX158" s="82"/>
      <c r="AY158" s="20"/>
      <c r="AZ158" s="21"/>
      <c r="BA158" s="21"/>
      <c r="BB158" s="21"/>
      <c r="BC158" s="29"/>
      <c r="BD158" s="30"/>
      <c r="BU158" s="106"/>
      <c r="BV158" s="106"/>
      <c r="BW158" s="106"/>
      <c r="BX158" s="106"/>
      <c r="BY158" s="106"/>
      <c r="BZ158" s="106"/>
      <c r="CA158" s="106"/>
    </row>
    <row r="159" spans="1:81">
      <c r="A159" s="699"/>
      <c r="B159" s="23"/>
      <c r="C159" s="17" t="s">
        <v>23</v>
      </c>
      <c r="D159" s="57"/>
      <c r="E159" s="2"/>
      <c r="F159" s="2"/>
      <c r="G159" s="63"/>
      <c r="H159" s="2"/>
      <c r="I159" s="20"/>
      <c r="J159" s="21">
        <f>(E191-J187)*'[2]C&amp;I composn'!$D$15</f>
        <v>12228.587221205535</v>
      </c>
      <c r="K159" s="21"/>
      <c r="L159" s="22"/>
      <c r="M159" s="2"/>
      <c r="N159" s="20"/>
      <c r="O159" s="21"/>
      <c r="P159" s="21"/>
      <c r="Q159" s="21"/>
      <c r="R159" s="29"/>
      <c r="T159" s="201">
        <f>[2]QLD!$H$16</f>
        <v>813000</v>
      </c>
      <c r="U159" s="2"/>
      <c r="V159" s="2"/>
      <c r="W159" s="199"/>
      <c r="X159" s="198"/>
      <c r="Y159" s="198"/>
      <c r="Z159" s="198"/>
      <c r="AA159" s="274"/>
      <c r="AB159" s="21"/>
      <c r="AC159" s="21"/>
      <c r="AD159" s="21"/>
      <c r="AE159" s="21"/>
      <c r="AF159" s="355"/>
      <c r="AG159" s="20">
        <f>T159</f>
        <v>813000</v>
      </c>
      <c r="AH159" s="21"/>
      <c r="AI159" s="21"/>
      <c r="AJ159" s="22">
        <f>AG159</f>
        <v>813000</v>
      </c>
      <c r="AK159" s="29">
        <f>AJ159/[2]Popn!$E$41*1000</f>
        <v>187.7001023346499</v>
      </c>
      <c r="AL159" s="19"/>
      <c r="AM159" s="57"/>
      <c r="AN159" s="2"/>
      <c r="AO159" s="2"/>
      <c r="AP159" s="63"/>
      <c r="AQ159" s="70">
        <f>[2]Bioenergy!$F$80</f>
        <v>139000</v>
      </c>
      <c r="AR159" s="21">
        <f>L163*'[2]Lfill en &amp; composn'!$E$84/SUM('[2]Lfill en &amp; composn'!$E$82,'[2]Lfill en &amp; composn'!$E$84:$E$85,'[2]Lfill en &amp; composn'!$E$87:$E$88)*'[2]Lfill en &amp; composn'!$D$18</f>
        <v>39667.313048865246</v>
      </c>
      <c r="AS159" s="35">
        <f>AR159/SUM($AR$148:$AR$190)</f>
        <v>0.12662014278170947</v>
      </c>
      <c r="AT159" s="21">
        <f>AS159*'[2]Lfill en &amp; composn'!$E$62/'[2]Lfill en &amp; composn'!$B$18</f>
        <v>19923.089333695578</v>
      </c>
      <c r="AU159" s="25"/>
      <c r="AV159" s="21"/>
      <c r="AW159" s="22"/>
      <c r="AX159" s="2"/>
      <c r="AY159" s="20">
        <f>AQ159</f>
        <v>139000</v>
      </c>
      <c r="AZ159" s="21"/>
      <c r="BA159" s="21"/>
      <c r="BB159" s="21"/>
      <c r="BC159" s="29"/>
      <c r="BD159" s="36"/>
    </row>
    <row r="160" spans="1:81">
      <c r="A160" s="699"/>
      <c r="B160" s="23"/>
      <c r="C160" s="17" t="s">
        <v>24</v>
      </c>
      <c r="D160" s="57"/>
      <c r="E160" s="2"/>
      <c r="F160" s="2"/>
      <c r="G160" s="63"/>
      <c r="H160" s="2"/>
      <c r="I160" s="20"/>
      <c r="J160" s="21">
        <f>(E191-J187)*'[2]C&amp;I composn'!$D$16</f>
        <v>109591.35516793854</v>
      </c>
      <c r="K160" s="21"/>
      <c r="L160" s="22"/>
      <c r="M160" s="2"/>
      <c r="N160" s="20"/>
      <c r="O160" s="21"/>
      <c r="P160" s="21"/>
      <c r="Q160" s="21"/>
      <c r="R160" s="29"/>
      <c r="T160" s="57"/>
      <c r="U160" s="2"/>
      <c r="V160" s="2"/>
      <c r="W160" s="199"/>
      <c r="X160" s="198"/>
      <c r="Y160" s="198"/>
      <c r="Z160" s="198"/>
      <c r="AA160" s="274"/>
      <c r="AB160" s="21"/>
      <c r="AC160" s="21"/>
      <c r="AD160" s="21"/>
      <c r="AE160" s="21"/>
      <c r="AF160" s="355"/>
      <c r="AG160" s="20"/>
      <c r="AH160" s="21"/>
      <c r="AI160" s="21"/>
      <c r="AJ160" s="22"/>
      <c r="AK160" s="29"/>
      <c r="AL160" s="19"/>
      <c r="AM160" s="57"/>
      <c r="AN160" s="2"/>
      <c r="AO160" s="2"/>
      <c r="AP160" s="63"/>
      <c r="AQ160" s="70">
        <f>[2]Bioenergy!$F$102</f>
        <v>49000</v>
      </c>
      <c r="AR160" s="21">
        <f>L163*'[2]Lfill en &amp; composn'!$E$85/SUM('[2]Lfill en &amp; composn'!$E$82,'[2]Lfill en &amp; composn'!$E$84:$E$85,'[2]Lfill en &amp; composn'!$E$87:$E$88)*'[2]Lfill en &amp; composn'!$D$19</f>
        <v>23330.471833355408</v>
      </c>
      <c r="AS160" s="35">
        <f>AR160/SUM($AR$148:$AR$190)</f>
        <v>7.4472089174908718E-2</v>
      </c>
      <c r="AT160" s="21">
        <f>AS160*'[2]Lfill en &amp; composn'!$E$62/'[2]Lfill en &amp; composn'!$B$19</f>
        <v>5450.1563455054093</v>
      </c>
      <c r="AU160" s="25"/>
      <c r="AV160" s="21"/>
      <c r="AW160" s="22"/>
      <c r="AX160" s="2"/>
      <c r="AY160" s="20"/>
      <c r="AZ160" s="21">
        <f>AQ160</f>
        <v>49000</v>
      </c>
      <c r="BA160" s="21"/>
      <c r="BB160" s="21"/>
      <c r="BC160" s="29"/>
    </row>
    <row r="161" spans="1:79">
      <c r="A161" s="699"/>
      <c r="B161" s="23"/>
      <c r="C161" s="17" t="s">
        <v>25</v>
      </c>
      <c r="D161" s="57"/>
      <c r="E161" s="2"/>
      <c r="F161" s="2"/>
      <c r="G161" s="63"/>
      <c r="H161" s="2"/>
      <c r="I161" s="20"/>
      <c r="J161" s="21">
        <f>(E191-J187)*'[2]C&amp;I composn'!$D$17</f>
        <v>96769.910773485084</v>
      </c>
      <c r="K161" s="21"/>
      <c r="L161" s="22"/>
      <c r="M161" s="2"/>
      <c r="N161" s="20"/>
      <c r="O161" s="21"/>
      <c r="P161" s="21"/>
      <c r="Q161" s="21"/>
      <c r="R161" s="29"/>
      <c r="T161" s="57"/>
      <c r="U161" s="2"/>
      <c r="V161" s="2"/>
      <c r="W161" s="199"/>
      <c r="X161" s="198"/>
      <c r="Y161" s="198"/>
      <c r="Z161" s="198"/>
      <c r="AA161" s="274"/>
      <c r="AB161" s="21"/>
      <c r="AC161" s="21"/>
      <c r="AD161" s="21"/>
      <c r="AE161" s="21"/>
      <c r="AF161" s="355"/>
      <c r="AG161" s="20"/>
      <c r="AH161" s="21"/>
      <c r="AI161" s="21"/>
      <c r="AJ161" s="22"/>
      <c r="AK161" s="29"/>
      <c r="AL161" s="19"/>
      <c r="AM161" s="57"/>
      <c r="AN161" s="2"/>
      <c r="AO161" s="2"/>
      <c r="AP161" s="63"/>
      <c r="AQ161" s="68"/>
      <c r="AR161" s="21">
        <f>L163*'[2]Lfill en &amp; composn'!$E$93/SUM('[2]Lfill en &amp; composn'!$E$82,'[2]Lfill en &amp; composn'!$E$84:$E$85,'[2]Lfill en &amp; composn'!$E$87:$E$88)*'[2]Lfill en &amp; composn'!$D$24</f>
        <v>10228.924442830283</v>
      </c>
      <c r="AS161" s="35">
        <f>AR161/SUM($AR$148:$AR$190)</f>
        <v>3.2651263065360044E-2</v>
      </c>
      <c r="AT161" s="21">
        <f>AS161*'[2]Lfill en &amp; composn'!$E$62/'[2]Lfill en &amp; composn'!$B$24</f>
        <v>4281.2700558409315</v>
      </c>
      <c r="AU161" s="25"/>
      <c r="AV161" s="21"/>
      <c r="AW161" s="22"/>
      <c r="AX161" s="83"/>
      <c r="AY161" s="20"/>
      <c r="AZ161" s="21"/>
      <c r="BA161" s="21"/>
      <c r="BB161" s="21"/>
      <c r="BC161" s="29"/>
    </row>
    <row r="162" spans="1:79">
      <c r="A162" s="699"/>
      <c r="B162" s="23"/>
      <c r="C162" s="17" t="s">
        <v>0</v>
      </c>
      <c r="D162" s="57"/>
      <c r="E162" s="2"/>
      <c r="F162" s="2"/>
      <c r="G162" s="199">
        <f>[2]QLD!$C$22</f>
        <v>70558</v>
      </c>
      <c r="H162" s="198"/>
      <c r="I162" s="306">
        <f>G162</f>
        <v>70558</v>
      </c>
      <c r="J162" s="113"/>
      <c r="K162" s="21"/>
      <c r="L162" s="22"/>
      <c r="M162" s="68" t="s">
        <v>193</v>
      </c>
      <c r="N162" s="20"/>
      <c r="O162" s="19"/>
      <c r="P162" s="19"/>
      <c r="Q162" s="19"/>
      <c r="R162" s="29"/>
      <c r="T162" s="57"/>
      <c r="U162" s="2"/>
      <c r="V162" s="2"/>
      <c r="W162" s="199"/>
      <c r="X162" s="198"/>
      <c r="Y162" s="198"/>
      <c r="Z162" s="198"/>
      <c r="AA162" s="278">
        <f>[2]QLD!$H$22</f>
        <v>497496</v>
      </c>
      <c r="AB162" s="21"/>
      <c r="AC162" s="21"/>
      <c r="AD162" s="21"/>
      <c r="AE162" s="21"/>
      <c r="AF162" s="570" t="s">
        <v>193</v>
      </c>
      <c r="AG162" s="20">
        <f>AA162</f>
        <v>497496</v>
      </c>
      <c r="AH162" s="21"/>
      <c r="AI162" s="21"/>
      <c r="AJ162" s="22">
        <f>AG162</f>
        <v>497496</v>
      </c>
      <c r="AK162" s="29">
        <f>AJ162/[2]Popn!$E$41*1000</f>
        <v>114.85861022272938</v>
      </c>
      <c r="AL162" s="19"/>
      <c r="AM162" s="57"/>
      <c r="AN162" s="2"/>
      <c r="AO162" s="2"/>
      <c r="AP162" s="63"/>
      <c r="AQ162" s="68"/>
      <c r="AR162" s="21">
        <f>L163*'[2]Lfill en &amp; composn'!$E$87/SUM('[2]Lfill en &amp; composn'!$E$82,'[2]Lfill en &amp; composn'!$E$84:$E$85,'[2]Lfill en &amp; composn'!$E$87:$E$88)*'[2]Lfill en &amp; composn'!$D$21</f>
        <v>260.18339789175872</v>
      </c>
      <c r="AS162" s="35">
        <f>AR162/SUM($AR$148:$AR$190)</f>
        <v>8.3051904599389678E-4</v>
      </c>
      <c r="AT162" s="21">
        <f>AS162*'[2]Lfill en &amp; composn'!$E$62/'[2]Lfill en &amp; composn'!$B$21</f>
        <v>522.71320449220673</v>
      </c>
      <c r="AU162" s="25"/>
      <c r="AV162" s="21"/>
      <c r="AW162" s="22"/>
      <c r="AX162" s="2"/>
      <c r="AY162" s="23"/>
      <c r="AZ162" s="19"/>
      <c r="BA162" s="19"/>
      <c r="BB162" s="21"/>
      <c r="BC162" s="24"/>
    </row>
    <row r="163" spans="1:79" s="106" customFormat="1">
      <c r="A163" s="699"/>
      <c r="B163" s="107" t="s">
        <v>67</v>
      </c>
      <c r="C163" s="108"/>
      <c r="D163" s="109"/>
      <c r="E163" s="110"/>
      <c r="F163" s="110"/>
      <c r="G163" s="111"/>
      <c r="H163" s="110"/>
      <c r="I163" s="112">
        <f>D191*'[2]Lfill en &amp; composn'!B$135</f>
        <v>1024910.0000000001</v>
      </c>
      <c r="J163" s="113">
        <f>SUM(J158:J162)</f>
        <v>548575.62410464801</v>
      </c>
      <c r="K163" s="113">
        <f>(F191-K187)*'[2]Lfill en &amp; composn'!C$146</f>
        <v>75085.943679990538</v>
      </c>
      <c r="L163" s="114">
        <f>SUM(I163:K163)</f>
        <v>1648571.5677846386</v>
      </c>
      <c r="M163" s="110"/>
      <c r="N163" s="112">
        <f>I163-AU163</f>
        <v>959197.48089273798</v>
      </c>
      <c r="O163" s="113">
        <f t="shared" ref="O163" si="68">J163-AV163</f>
        <v>513403.47612994298</v>
      </c>
      <c r="P163" s="113">
        <f t="shared" ref="P163" si="69">K163-AW163</f>
        <v>70271.778037389537</v>
      </c>
      <c r="Q163" s="114">
        <f>SUM(N163:P163)</f>
        <v>1542872.7350600704</v>
      </c>
      <c r="R163" s="118">
        <f>Q163/[2]Popn!$E$41*1000</f>
        <v>356.20832750321819</v>
      </c>
      <c r="T163" s="109"/>
      <c r="U163" s="110"/>
      <c r="V163" s="110"/>
      <c r="W163" s="203"/>
      <c r="X163" s="130"/>
      <c r="Y163" s="130"/>
      <c r="Z163" s="130"/>
      <c r="AA163" s="285">
        <f>-SUM([2]ROU!$P$20:$P$29)</f>
        <v>-209747</v>
      </c>
      <c r="AB163" s="113"/>
      <c r="AC163" s="113"/>
      <c r="AD163" s="113"/>
      <c r="AE163" s="113">
        <f>SUM(T191:V191)*[2]QLD!$E$103</f>
        <v>1302737.7042861546</v>
      </c>
      <c r="AF163" s="554" t="s">
        <v>198</v>
      </c>
      <c r="AG163" s="112"/>
      <c r="AH163" s="113"/>
      <c r="AI163" s="113"/>
      <c r="AJ163" s="114">
        <f>SUM(AA163:AE163)</f>
        <v>1092990.7042861546</v>
      </c>
      <c r="AK163" s="115">
        <f>AJ163/[2]Popn!$E$41*1000</f>
        <v>252.34251789093759</v>
      </c>
      <c r="AL163" s="119"/>
      <c r="AM163" s="109"/>
      <c r="AN163" s="110"/>
      <c r="AO163" s="110"/>
      <c r="AP163" s="111"/>
      <c r="AQ163" s="116"/>
      <c r="AR163" s="113"/>
      <c r="AS163" s="113"/>
      <c r="AT163" s="113">
        <f>SUM(AT158:AT162)</f>
        <v>105698.83272456814</v>
      </c>
      <c r="AU163" s="120">
        <f>$AT163*I163/SUM($I163:$K163)</f>
        <v>65712.519107262138</v>
      </c>
      <c r="AV163" s="113">
        <f>$AT163*J163/SUM($I163:$K163)</f>
        <v>35172.147974705025</v>
      </c>
      <c r="AW163" s="114">
        <f>$AT163*K163/SUM($I163:$K163)</f>
        <v>4814.1656426009949</v>
      </c>
      <c r="AX163" s="110"/>
      <c r="AY163" s="241">
        <f>AU163+AY159</f>
        <v>204712.51910726214</v>
      </c>
      <c r="AZ163" s="242">
        <f>AV163+AZ160</f>
        <v>84172.147974705033</v>
      </c>
      <c r="BA163" s="242">
        <f>AW163</f>
        <v>4814.1656426009949</v>
      </c>
      <c r="BB163" s="243">
        <f>SUM(AY163:BA163)</f>
        <v>293698.83272456814</v>
      </c>
      <c r="BC163" s="118">
        <f>BB163/[2]Popn!$E$41*1000</f>
        <v>67.807258250883962</v>
      </c>
      <c r="BD163" s="122"/>
      <c r="BG163" s="146"/>
      <c r="BH163" s="138" t="s">
        <v>72</v>
      </c>
      <c r="BI163" s="138" t="s">
        <v>68</v>
      </c>
      <c r="BJ163" s="138" t="s">
        <v>69</v>
      </c>
      <c r="BK163" s="138" t="s">
        <v>73</v>
      </c>
      <c r="BL163" s="138" t="s">
        <v>78</v>
      </c>
      <c r="BM163" s="6"/>
      <c r="BN163" s="6"/>
      <c r="BO163" s="6"/>
      <c r="BU163" s="6"/>
      <c r="BV163" s="6"/>
      <c r="BW163" s="6"/>
      <c r="BX163" s="6"/>
      <c r="BY163" s="6"/>
      <c r="BZ163" s="6"/>
      <c r="CA163" s="6"/>
    </row>
    <row r="164" spans="1:79">
      <c r="A164" s="699"/>
      <c r="B164" s="23" t="s">
        <v>5</v>
      </c>
      <c r="C164" s="17" t="s">
        <v>26</v>
      </c>
      <c r="D164" s="57"/>
      <c r="E164" s="2"/>
      <c r="F164" s="2"/>
      <c r="G164" s="63"/>
      <c r="H164" s="2"/>
      <c r="I164" s="20"/>
      <c r="J164" s="21">
        <f>(E191-J187)*'[2]C&amp;I composn'!$D$18</f>
        <v>176819.00920202234</v>
      </c>
      <c r="K164" s="21"/>
      <c r="L164" s="22"/>
      <c r="M164" s="2"/>
      <c r="N164" s="23"/>
      <c r="O164" s="19"/>
      <c r="P164" s="19"/>
      <c r="Q164" s="19"/>
      <c r="R164" s="305"/>
      <c r="T164" s="57"/>
      <c r="U164" s="2"/>
      <c r="V164" s="2"/>
      <c r="W164" s="199"/>
      <c r="X164" s="198"/>
      <c r="Y164" s="198"/>
      <c r="Z164" s="198"/>
      <c r="AA164" s="274"/>
      <c r="AB164" s="21"/>
      <c r="AC164" s="21"/>
      <c r="AD164" s="21"/>
      <c r="AE164" s="21"/>
      <c r="AF164" s="355"/>
      <c r="AG164" s="20"/>
      <c r="AH164" s="21"/>
      <c r="AI164" s="21"/>
      <c r="AJ164" s="22"/>
      <c r="AK164" s="29"/>
      <c r="AL164" s="19"/>
      <c r="AM164" s="57"/>
      <c r="AN164" s="2"/>
      <c r="AO164" s="2"/>
      <c r="AP164" s="63"/>
      <c r="AQ164" s="68"/>
      <c r="AR164" s="21"/>
      <c r="AS164" s="21"/>
      <c r="AT164" s="21"/>
      <c r="AU164" s="240"/>
      <c r="AV164" s="19"/>
      <c r="AW164" s="195"/>
      <c r="AX164" s="2"/>
      <c r="AY164" s="238"/>
      <c r="BB164" s="19"/>
      <c r="BC164" s="24"/>
      <c r="BG164" s="147" t="s">
        <v>3</v>
      </c>
      <c r="BH164" s="52">
        <f>Q153/1000</f>
        <v>666.72941698665932</v>
      </c>
      <c r="BI164" s="52">
        <f>AJ153/1000</f>
        <v>920.70099444958373</v>
      </c>
      <c r="BJ164" s="52">
        <f>BB153/1000</f>
        <v>0</v>
      </c>
      <c r="BK164" s="137">
        <f>SUM(BI164:BJ164)/BL164</f>
        <v>0.57999455460637839</v>
      </c>
      <c r="BL164" s="52">
        <f>SUM(BH164:BJ164)</f>
        <v>1587.430411436243</v>
      </c>
      <c r="BU164" s="106"/>
      <c r="BV164" s="106"/>
      <c r="BW164" s="106"/>
      <c r="BX164" s="106"/>
      <c r="BY164" s="106"/>
      <c r="BZ164" s="106"/>
      <c r="CA164" s="106"/>
    </row>
    <row r="165" spans="1:79">
      <c r="A165" s="699"/>
      <c r="B165" s="23"/>
      <c r="C165" s="17" t="s">
        <v>27</v>
      </c>
      <c r="D165" s="57"/>
      <c r="E165" s="2"/>
      <c r="F165" s="2"/>
      <c r="G165" s="63"/>
      <c r="H165" s="2"/>
      <c r="I165" s="20"/>
      <c r="J165" s="725">
        <f>(E191-J187)*'[2]C&amp;I composn'!$D$20</f>
        <v>58129.919728362715</v>
      </c>
      <c r="K165" s="21"/>
      <c r="L165" s="22"/>
      <c r="M165" s="2"/>
      <c r="N165" s="23"/>
      <c r="O165" s="19"/>
      <c r="P165" s="19"/>
      <c r="Q165" s="19"/>
      <c r="R165" s="305"/>
      <c r="T165" s="57"/>
      <c r="U165" s="2"/>
      <c r="V165" s="2"/>
      <c r="W165" s="199"/>
      <c r="X165" s="198"/>
      <c r="Y165" s="198"/>
      <c r="Z165" s="198"/>
      <c r="AA165" s="274"/>
      <c r="AB165" s="21"/>
      <c r="AC165" s="21"/>
      <c r="AD165" s="21"/>
      <c r="AE165" s="21"/>
      <c r="AF165" s="355"/>
      <c r="AG165" s="20"/>
      <c r="AH165" s="21"/>
      <c r="AI165" s="21"/>
      <c r="AJ165" s="22"/>
      <c r="AK165" s="29"/>
      <c r="AL165" s="19"/>
      <c r="AM165" s="57"/>
      <c r="AN165" s="2"/>
      <c r="AO165" s="2"/>
      <c r="AP165" s="63"/>
      <c r="AQ165" s="68"/>
      <c r="AR165" s="21"/>
      <c r="AS165" s="21"/>
      <c r="AT165" s="21"/>
      <c r="AU165" s="240"/>
      <c r="AV165" s="19"/>
      <c r="AW165" s="195"/>
      <c r="AX165" s="2"/>
      <c r="AY165" s="238"/>
      <c r="BB165" s="19"/>
      <c r="BC165" s="24"/>
      <c r="BG165" s="147" t="s">
        <v>4</v>
      </c>
      <c r="BH165" s="52">
        <f>Q157/1000</f>
        <v>135.33205658605527</v>
      </c>
      <c r="BI165" s="52">
        <f>AJ157/1000</f>
        <v>721.45875732346599</v>
      </c>
      <c r="BJ165" s="52">
        <f>BB157/1000</f>
        <v>0</v>
      </c>
      <c r="BK165" s="137">
        <f t="shared" ref="BK165:BK172" si="70">SUM(BI165:BJ165)/BL165</f>
        <v>0.84204772694919838</v>
      </c>
      <c r="BL165" s="52">
        <f t="shared" ref="BL165:BL172" si="71">SUM(BH165:BJ165)</f>
        <v>856.79081390952126</v>
      </c>
    </row>
    <row r="166" spans="1:79">
      <c r="A166" s="699"/>
      <c r="B166" s="23"/>
      <c r="C166" s="17" t="s">
        <v>28</v>
      </c>
      <c r="D166" s="57"/>
      <c r="E166" s="2"/>
      <c r="F166" s="2"/>
      <c r="G166" s="63"/>
      <c r="H166" s="2"/>
      <c r="I166" s="20"/>
      <c r="J166" s="725"/>
      <c r="K166" s="21"/>
      <c r="L166" s="22"/>
      <c r="M166" s="2"/>
      <c r="N166" s="23"/>
      <c r="O166" s="19"/>
      <c r="P166" s="19"/>
      <c r="Q166" s="19"/>
      <c r="R166" s="305"/>
      <c r="T166" s="57"/>
      <c r="U166" s="2"/>
      <c r="V166" s="2"/>
      <c r="W166" s="199"/>
      <c r="X166" s="198"/>
      <c r="Y166" s="198"/>
      <c r="Z166" s="198"/>
      <c r="AA166" s="274"/>
      <c r="AB166" s="21"/>
      <c r="AC166" s="21"/>
      <c r="AD166" s="21"/>
      <c r="AE166" s="21"/>
      <c r="AF166" s="355"/>
      <c r="AG166" s="20"/>
      <c r="AH166" s="21"/>
      <c r="AI166" s="21"/>
      <c r="AJ166" s="22"/>
      <c r="AK166" s="29"/>
      <c r="AL166" s="19"/>
      <c r="AM166" s="57"/>
      <c r="AN166" s="2"/>
      <c r="AO166" s="2"/>
      <c r="AP166" s="63"/>
      <c r="AQ166" s="68"/>
      <c r="AR166" s="21"/>
      <c r="AS166" s="21"/>
      <c r="AT166" s="21"/>
      <c r="AU166" s="240"/>
      <c r="AV166" s="19"/>
      <c r="AW166" s="195"/>
      <c r="AX166" s="2"/>
      <c r="AY166" s="238"/>
      <c r="BB166" s="19"/>
      <c r="BC166" s="24"/>
      <c r="BG166" s="147" t="s">
        <v>2</v>
      </c>
      <c r="BH166" s="52">
        <f>Q163/1000</f>
        <v>1542.8727350600705</v>
      </c>
      <c r="BI166" s="52">
        <f>AJ163/1000</f>
        <v>1092.9907042861546</v>
      </c>
      <c r="BJ166" s="52">
        <f>BB163/1000</f>
        <v>293.69883272456815</v>
      </c>
      <c r="BK166" s="137">
        <f t="shared" si="70"/>
        <v>0.47334359478575816</v>
      </c>
      <c r="BL166" s="52">
        <f t="shared" si="71"/>
        <v>2929.5622720707934</v>
      </c>
    </row>
    <row r="167" spans="1:79">
      <c r="A167" s="699"/>
      <c r="B167" s="23"/>
      <c r="C167" s="17" t="s">
        <v>29</v>
      </c>
      <c r="D167" s="57"/>
      <c r="E167" s="2"/>
      <c r="F167" s="2"/>
      <c r="G167" s="63"/>
      <c r="H167" s="2"/>
      <c r="I167" s="20"/>
      <c r="J167" s="21">
        <f>(E191-J187)*'[2]C&amp;I composn'!$D$19</f>
        <v>86772.190740473801</v>
      </c>
      <c r="K167" s="21"/>
      <c r="L167" s="22"/>
      <c r="M167" s="2"/>
      <c r="N167" s="23"/>
      <c r="O167" s="19"/>
      <c r="P167" s="19"/>
      <c r="Q167" s="19"/>
      <c r="R167" s="305"/>
      <c r="T167" s="57"/>
      <c r="U167" s="2"/>
      <c r="V167" s="2"/>
      <c r="W167" s="199"/>
      <c r="X167" s="198"/>
      <c r="Y167" s="198"/>
      <c r="Z167" s="198"/>
      <c r="AA167" s="274"/>
      <c r="AB167" s="21"/>
      <c r="AC167" s="21"/>
      <c r="AD167" s="21"/>
      <c r="AE167" s="21"/>
      <c r="AF167" s="355"/>
      <c r="AG167" s="20"/>
      <c r="AH167" s="21"/>
      <c r="AI167" s="21"/>
      <c r="AJ167" s="22"/>
      <c r="AK167" s="29"/>
      <c r="AL167" s="19"/>
      <c r="AM167" s="57"/>
      <c r="AN167" s="2"/>
      <c r="AO167" s="2"/>
      <c r="AP167" s="63"/>
      <c r="AQ167" s="68"/>
      <c r="AR167" s="21"/>
      <c r="AS167" s="21"/>
      <c r="AT167" s="21"/>
      <c r="AU167" s="240"/>
      <c r="AV167" s="19"/>
      <c r="AW167" s="195"/>
      <c r="AX167" s="2"/>
      <c r="AY167" s="238"/>
      <c r="BB167" s="19"/>
      <c r="BC167" s="24"/>
      <c r="BG167" s="147" t="s">
        <v>5</v>
      </c>
      <c r="BH167" s="52">
        <f>Q168/1000</f>
        <v>556.86972056621221</v>
      </c>
      <c r="BI167" s="52">
        <f>AJ168/1000</f>
        <v>563.70974406413814</v>
      </c>
      <c r="BJ167" s="52">
        <f>BB168/1000</f>
        <v>28.828627984643045</v>
      </c>
      <c r="BK167" s="137">
        <f t="shared" si="70"/>
        <v>0.5155160955067839</v>
      </c>
      <c r="BL167" s="52">
        <f t="shared" si="71"/>
        <v>1149.4080926149932</v>
      </c>
    </row>
    <row r="168" spans="1:79" s="106" customFormat="1">
      <c r="A168" s="699"/>
      <c r="B168" s="107" t="s">
        <v>67</v>
      </c>
      <c r="C168" s="108"/>
      <c r="D168" s="109"/>
      <c r="E168" s="110"/>
      <c r="F168" s="110"/>
      <c r="G168" s="111"/>
      <c r="H168" s="110"/>
      <c r="I168" s="112">
        <f>D191*'[2]Lfill en &amp; composn'!B$136</f>
        <v>235820</v>
      </c>
      <c r="J168" s="113">
        <f>SUM(J164:J167)</f>
        <v>321721.11967085884</v>
      </c>
      <c r="K168" s="113">
        <f>(F191-K187)*'[2]Lfill en &amp; composn'!C$147</f>
        <v>28157.228879996448</v>
      </c>
      <c r="L168" s="114">
        <f>SUM(I168:K168)</f>
        <v>585698.3485508553</v>
      </c>
      <c r="M168" s="110"/>
      <c r="N168" s="112">
        <f>I168-AU168</f>
        <v>224212.71603179493</v>
      </c>
      <c r="O168" s="113">
        <f t="shared" ref="O168" si="72">J168-AV168</f>
        <v>305885.70115424215</v>
      </c>
      <c r="P168" s="113">
        <f t="shared" ref="P168" si="73">K168-AW168</f>
        <v>26771.30338017513</v>
      </c>
      <c r="Q168" s="114">
        <f>SUM(N168:P168)</f>
        <v>556869.7205662122</v>
      </c>
      <c r="R168" s="118">
        <f>Q168/[2]Popn!$E$41*1000</f>
        <v>128.56642501518564</v>
      </c>
      <c r="T168" s="109"/>
      <c r="U168" s="110"/>
      <c r="V168" s="110"/>
      <c r="W168" s="203"/>
      <c r="X168" s="130"/>
      <c r="Y168" s="130"/>
      <c r="Z168" s="130"/>
      <c r="AA168" s="276"/>
      <c r="AB168" s="113"/>
      <c r="AC168" s="113"/>
      <c r="AD168" s="113"/>
      <c r="AE168" s="113">
        <f>SUM(T191:V191)*[2]QLD!$E$104</f>
        <v>563709.74406413815</v>
      </c>
      <c r="AF168" s="567"/>
      <c r="AG168" s="112"/>
      <c r="AH168" s="113"/>
      <c r="AI168" s="113"/>
      <c r="AJ168" s="114">
        <f>AE168</f>
        <v>563709.74406413815</v>
      </c>
      <c r="AK168" s="115">
        <f>AJ168/[2]Popn!$E$41*1000</f>
        <v>130.1456047329373</v>
      </c>
      <c r="AL168" s="119"/>
      <c r="AM168" s="109"/>
      <c r="AN168" s="110"/>
      <c r="AO168" s="110"/>
      <c r="AP168" s="111"/>
      <c r="AQ168" s="117"/>
      <c r="AR168" s="113">
        <f>L168*'[2]Lfill en &amp; composn'!$D$17</f>
        <v>114796.87631596765</v>
      </c>
      <c r="AS168" s="123">
        <f>AR168/SUM($AR$148:$AR$190)</f>
        <v>0.36643764734243534</v>
      </c>
      <c r="AT168" s="113">
        <f>AS168*'[2]Lfill en &amp; composn'!$E$62/'[2]Lfill en &amp; composn'!$B$17</f>
        <v>28828.627984643044</v>
      </c>
      <c r="AU168" s="120">
        <f>$AT168*I168/SUM($I168:$K168)</f>
        <v>11607.283968205062</v>
      </c>
      <c r="AV168" s="113">
        <f>$AT168*J168/SUM($I168:$K168)</f>
        <v>15835.418516616666</v>
      </c>
      <c r="AW168" s="114">
        <f>$AT168*K168/SUM($I168:$K168)</f>
        <v>1385.9254998213185</v>
      </c>
      <c r="AX168" s="110"/>
      <c r="AY168" s="241">
        <f>AU168</f>
        <v>11607.283968205062</v>
      </c>
      <c r="AZ168" s="242">
        <f>AV168</f>
        <v>15835.418516616666</v>
      </c>
      <c r="BA168" s="242">
        <f>AW168</f>
        <v>1385.9254998213185</v>
      </c>
      <c r="BB168" s="243">
        <f>SUM(AY168:BA168)</f>
        <v>28828.627984643044</v>
      </c>
      <c r="BC168" s="118">
        <f>BB168/[2]Popn!$E$41*1000</f>
        <v>6.655764357792191</v>
      </c>
      <c r="BD168" s="122"/>
      <c r="BG168" s="147" t="s">
        <v>6</v>
      </c>
      <c r="BH168" s="52">
        <f>Q178/1000</f>
        <v>419.70036311342312</v>
      </c>
      <c r="BI168" s="52">
        <f>AJ178/1000</f>
        <v>28.547000000000004</v>
      </c>
      <c r="BJ168" s="52">
        <f>BB178/1000</f>
        <v>0</v>
      </c>
      <c r="BK168" s="137">
        <f t="shared" si="70"/>
        <v>6.3685818030738889E-2</v>
      </c>
      <c r="BL168" s="52">
        <f t="shared" si="71"/>
        <v>448.24736311342315</v>
      </c>
      <c r="BM168" s="6"/>
      <c r="BN168" s="6"/>
      <c r="BO168" s="6"/>
      <c r="BU168" s="6"/>
      <c r="BV168" s="6"/>
      <c r="BW168" s="6"/>
      <c r="BX168" s="6"/>
      <c r="BY168" s="6"/>
      <c r="BZ168" s="6"/>
      <c r="CA168" s="6"/>
    </row>
    <row r="169" spans="1:79">
      <c r="A169" s="699"/>
      <c r="B169" s="23" t="s">
        <v>6</v>
      </c>
      <c r="C169" s="17" t="s">
        <v>30</v>
      </c>
      <c r="D169" s="57"/>
      <c r="E169" s="2"/>
      <c r="F169" s="2"/>
      <c r="G169" s="63"/>
      <c r="H169" s="2"/>
      <c r="I169" s="20"/>
      <c r="J169" s="21"/>
      <c r="K169" s="21"/>
      <c r="L169" s="22"/>
      <c r="M169" s="2"/>
      <c r="N169" s="23"/>
      <c r="O169" s="19"/>
      <c r="P169" s="19"/>
      <c r="Q169" s="19"/>
      <c r="R169" s="305"/>
      <c r="T169" s="57"/>
      <c r="U169" s="2"/>
      <c r="V169" s="2"/>
      <c r="W169" s="199"/>
      <c r="X169" s="198"/>
      <c r="Y169" s="198"/>
      <c r="Z169" s="198"/>
      <c r="AA169" s="274"/>
      <c r="AB169" s="21"/>
      <c r="AC169" s="21"/>
      <c r="AD169" s="21"/>
      <c r="AE169" s="21"/>
      <c r="AF169" s="355"/>
      <c r="AG169" s="20"/>
      <c r="AH169" s="21"/>
      <c r="AI169" s="21"/>
      <c r="AJ169" s="22"/>
      <c r="AK169" s="29"/>
      <c r="AL169" s="19"/>
      <c r="AM169" s="57"/>
      <c r="AN169" s="2"/>
      <c r="AO169" s="2"/>
      <c r="AP169" s="63"/>
      <c r="AQ169" s="68"/>
      <c r="AR169" s="21"/>
      <c r="AS169" s="21"/>
      <c r="AT169" s="21"/>
      <c r="AU169" s="240"/>
      <c r="AV169" s="19"/>
      <c r="AW169" s="195"/>
      <c r="AX169" s="2"/>
      <c r="AY169" s="238"/>
      <c r="BB169" s="19"/>
      <c r="BC169" s="24"/>
      <c r="BG169" s="147" t="s">
        <v>8</v>
      </c>
      <c r="BH169" s="52">
        <f>Q179/1000</f>
        <v>105.18225258788242</v>
      </c>
      <c r="BI169" s="52">
        <f>AJ179/1000</f>
        <v>86.724576009867391</v>
      </c>
      <c r="BJ169" s="52">
        <f>BB179/1000</f>
        <v>0</v>
      </c>
      <c r="BK169" s="137">
        <f t="shared" si="70"/>
        <v>0.45190979728839248</v>
      </c>
      <c r="BL169" s="52">
        <f t="shared" si="71"/>
        <v>191.90682859774981</v>
      </c>
      <c r="BU169" s="106"/>
      <c r="BV169" s="106"/>
      <c r="BW169" s="106"/>
      <c r="BX169" s="106"/>
      <c r="BY169" s="106"/>
      <c r="BZ169" s="106"/>
      <c r="CA169" s="106"/>
    </row>
    <row r="170" spans="1:79">
      <c r="A170" s="699"/>
      <c r="B170" s="23"/>
      <c r="C170" s="17" t="s">
        <v>31</v>
      </c>
      <c r="D170" s="57"/>
      <c r="E170" s="2"/>
      <c r="F170" s="2"/>
      <c r="G170" s="63"/>
      <c r="H170" s="2"/>
      <c r="I170" s="20"/>
      <c r="J170" s="21"/>
      <c r="K170" s="21"/>
      <c r="L170" s="22"/>
      <c r="M170" s="2"/>
      <c r="N170" s="23"/>
      <c r="O170" s="19"/>
      <c r="P170" s="19"/>
      <c r="Q170" s="19"/>
      <c r="R170" s="305"/>
      <c r="T170" s="57"/>
      <c r="U170" s="2"/>
      <c r="V170" s="2"/>
      <c r="W170" s="199"/>
      <c r="X170" s="198"/>
      <c r="Y170" s="198"/>
      <c r="Z170" s="198"/>
      <c r="AA170" s="274"/>
      <c r="AB170" s="21"/>
      <c r="AC170" s="21"/>
      <c r="AD170" s="21"/>
      <c r="AE170" s="21"/>
      <c r="AF170" s="355"/>
      <c r="AG170" s="20"/>
      <c r="AH170" s="21"/>
      <c r="AI170" s="21"/>
      <c r="AJ170" s="22"/>
      <c r="AK170" s="29"/>
      <c r="AL170" s="19"/>
      <c r="AM170" s="57"/>
      <c r="AN170" s="2"/>
      <c r="AO170" s="2"/>
      <c r="AP170" s="63"/>
      <c r="AQ170" s="68"/>
      <c r="AR170" s="21"/>
      <c r="AS170" s="21"/>
      <c r="AT170" s="21"/>
      <c r="AU170" s="240"/>
      <c r="AV170" s="19"/>
      <c r="AW170" s="195"/>
      <c r="AX170" s="2"/>
      <c r="AY170" s="238"/>
      <c r="BB170" s="19"/>
      <c r="BC170" s="24"/>
      <c r="BG170" s="147" t="s">
        <v>7</v>
      </c>
      <c r="BH170" s="52">
        <f>Q182/1000</f>
        <v>73.197860172089776</v>
      </c>
      <c r="BI170" s="52">
        <f>AJ182/1000</f>
        <v>41.493223866790011</v>
      </c>
      <c r="BJ170" s="52">
        <f>BB182/1000</f>
        <v>4.3919927308297755</v>
      </c>
      <c r="BK170" s="137">
        <f t="shared" si="70"/>
        <v>0.38532105352262225</v>
      </c>
      <c r="BL170" s="52">
        <f t="shared" si="71"/>
        <v>119.08307676970955</v>
      </c>
    </row>
    <row r="171" spans="1:79">
      <c r="A171" s="699"/>
      <c r="B171" s="23"/>
      <c r="C171" s="17" t="s">
        <v>32</v>
      </c>
      <c r="D171" s="57"/>
      <c r="E171" s="2"/>
      <c r="F171" s="2"/>
      <c r="G171" s="63"/>
      <c r="H171" s="2"/>
      <c r="I171" s="20"/>
      <c r="J171" s="21"/>
      <c r="K171" s="21"/>
      <c r="L171" s="22"/>
      <c r="M171" s="2"/>
      <c r="N171" s="23"/>
      <c r="O171" s="19"/>
      <c r="P171" s="19"/>
      <c r="Q171" s="19"/>
      <c r="R171" s="305"/>
      <c r="T171" s="57"/>
      <c r="U171" s="2"/>
      <c r="V171" s="2"/>
      <c r="W171" s="199"/>
      <c r="X171" s="198"/>
      <c r="Y171" s="198"/>
      <c r="Z171" s="198"/>
      <c r="AA171" s="274"/>
      <c r="AB171" s="21"/>
      <c r="AC171" s="21"/>
      <c r="AD171" s="21"/>
      <c r="AE171" s="21"/>
      <c r="AF171" s="355"/>
      <c r="AG171" s="20"/>
      <c r="AH171" s="21"/>
      <c r="AI171" s="21"/>
      <c r="AJ171" s="22"/>
      <c r="AK171" s="29"/>
      <c r="AL171" s="19"/>
      <c r="AM171" s="57"/>
      <c r="AN171" s="2"/>
      <c r="AO171" s="2"/>
      <c r="AP171" s="63"/>
      <c r="AQ171" s="68"/>
      <c r="AR171" s="21"/>
      <c r="AS171" s="21"/>
      <c r="AT171" s="21"/>
      <c r="AU171" s="240"/>
      <c r="AV171" s="19"/>
      <c r="AW171" s="195"/>
      <c r="AX171" s="2"/>
      <c r="AY171" s="238"/>
      <c r="BB171" s="19"/>
      <c r="BC171" s="24"/>
      <c r="BG171" s="147" t="s">
        <v>11</v>
      </c>
      <c r="BH171" s="52">
        <f>Q187/1000</f>
        <v>766.84114148756612</v>
      </c>
      <c r="BI171" s="52">
        <f>AJ187/1000</f>
        <v>42.634</v>
      </c>
      <c r="BJ171" s="52">
        <f>BB187/1000</f>
        <v>7.3129999999999997</v>
      </c>
      <c r="BK171" s="137">
        <f t="shared" si="70"/>
        <v>6.1150496025853894E-2</v>
      </c>
      <c r="BL171" s="52">
        <f t="shared" si="71"/>
        <v>816.78814148756612</v>
      </c>
    </row>
    <row r="172" spans="1:79" s="90" customFormat="1">
      <c r="A172" s="699"/>
      <c r="B172" s="91" t="s">
        <v>42</v>
      </c>
      <c r="C172" s="92"/>
      <c r="D172" s="93"/>
      <c r="E172" s="94"/>
      <c r="F172" s="94"/>
      <c r="G172" s="95"/>
      <c r="H172" s="94"/>
      <c r="I172" s="96"/>
      <c r="J172" s="97"/>
      <c r="K172" s="97"/>
      <c r="L172" s="98"/>
      <c r="M172" s="94"/>
      <c r="N172" s="96"/>
      <c r="O172" s="97"/>
      <c r="P172" s="97"/>
      <c r="Q172" s="97"/>
      <c r="R172" s="102"/>
      <c r="T172" s="93"/>
      <c r="U172" s="94"/>
      <c r="V172" s="94"/>
      <c r="W172" s="211"/>
      <c r="X172" s="289"/>
      <c r="Y172" s="289"/>
      <c r="Z172" s="289"/>
      <c r="AA172" s="280"/>
      <c r="AB172" s="97"/>
      <c r="AC172" s="97"/>
      <c r="AD172" s="97"/>
      <c r="AE172" s="97"/>
      <c r="AF172" s="568"/>
      <c r="AG172" s="96"/>
      <c r="AH172" s="97"/>
      <c r="AI172" s="97"/>
      <c r="AJ172" s="98"/>
      <c r="AK172" s="102"/>
      <c r="AL172" s="103"/>
      <c r="AM172" s="93"/>
      <c r="AN172" s="94"/>
      <c r="AO172" s="94"/>
      <c r="AP172" s="95"/>
      <c r="AQ172" s="100"/>
      <c r="AR172" s="97"/>
      <c r="AS172" s="128"/>
      <c r="AT172" s="128"/>
      <c r="AU172" s="104"/>
      <c r="AV172" s="97"/>
      <c r="AW172" s="98"/>
      <c r="AX172" s="94"/>
      <c r="AY172" s="239"/>
      <c r="BB172" s="97"/>
      <c r="BC172" s="105"/>
      <c r="BG172" s="147" t="s">
        <v>1</v>
      </c>
      <c r="BH172" s="52">
        <f>Q188/1000</f>
        <v>4914.0889999999999</v>
      </c>
      <c r="BI172" s="52">
        <f>AJ188/1000</f>
        <v>929.57100000000003</v>
      </c>
      <c r="BJ172" s="52">
        <f>BB188/1000</f>
        <v>0</v>
      </c>
      <c r="BK172" s="137">
        <f t="shared" si="70"/>
        <v>0.15907342316288081</v>
      </c>
      <c r="BL172" s="52">
        <f t="shared" si="71"/>
        <v>5843.66</v>
      </c>
      <c r="BM172" s="6"/>
      <c r="BN172" s="6"/>
      <c r="BO172" s="6"/>
      <c r="BU172" s="6"/>
      <c r="BV172" s="6"/>
      <c r="BW172" s="6"/>
      <c r="BX172" s="6"/>
      <c r="BY172" s="6"/>
      <c r="BZ172" s="6"/>
      <c r="CA172" s="6"/>
    </row>
    <row r="173" spans="1:79">
      <c r="A173" s="699"/>
      <c r="B173" s="23"/>
      <c r="C173" s="17" t="s">
        <v>33</v>
      </c>
      <c r="D173" s="57"/>
      <c r="E173" s="2"/>
      <c r="F173" s="2"/>
      <c r="G173" s="63"/>
      <c r="H173" s="2"/>
      <c r="I173" s="20"/>
      <c r="J173" s="21"/>
      <c r="K173" s="21"/>
      <c r="L173" s="22"/>
      <c r="M173" s="2"/>
      <c r="N173" s="23"/>
      <c r="O173" s="19"/>
      <c r="P173" s="19"/>
      <c r="Q173" s="19"/>
      <c r="R173" s="305"/>
      <c r="T173" s="57"/>
      <c r="U173" s="2"/>
      <c r="V173" s="2"/>
      <c r="W173" s="199"/>
      <c r="X173" s="198"/>
      <c r="Y173" s="198"/>
      <c r="Z173" s="198"/>
      <c r="AA173" s="274"/>
      <c r="AB173" s="21"/>
      <c r="AC173" s="21"/>
      <c r="AD173" s="21"/>
      <c r="AE173" s="21"/>
      <c r="AF173" s="355"/>
      <c r="AG173" s="20"/>
      <c r="AH173" s="21"/>
      <c r="AI173" s="21"/>
      <c r="AJ173" s="22"/>
      <c r="AK173" s="29"/>
      <c r="AL173" s="19"/>
      <c r="AM173" s="57"/>
      <c r="AN173" s="2"/>
      <c r="AO173" s="2"/>
      <c r="AP173" s="63"/>
      <c r="AQ173" s="68"/>
      <c r="AR173" s="21"/>
      <c r="AS173" s="21"/>
      <c r="AT173" s="21"/>
      <c r="AU173" s="240"/>
      <c r="AV173" s="19"/>
      <c r="AW173" s="195"/>
      <c r="AX173" s="2"/>
      <c r="AY173" s="238"/>
      <c r="BB173" s="19"/>
      <c r="BC173" s="24"/>
      <c r="BG173" s="142"/>
      <c r="BU173" s="90"/>
      <c r="BV173" s="90"/>
      <c r="BW173" s="90"/>
      <c r="BX173" s="90"/>
      <c r="BY173" s="90"/>
      <c r="BZ173" s="90"/>
      <c r="CA173" s="90"/>
    </row>
    <row r="174" spans="1:79">
      <c r="A174" s="699"/>
      <c r="B174" s="23"/>
      <c r="C174" s="17" t="s">
        <v>34</v>
      </c>
      <c r="D174" s="57"/>
      <c r="E174" s="2"/>
      <c r="F174" s="2"/>
      <c r="G174" s="63"/>
      <c r="H174" s="2"/>
      <c r="I174" s="20"/>
      <c r="J174" s="21"/>
      <c r="K174" s="21"/>
      <c r="L174" s="22"/>
      <c r="M174" s="2"/>
      <c r="N174" s="23"/>
      <c r="O174" s="19"/>
      <c r="P174" s="19"/>
      <c r="Q174" s="19"/>
      <c r="R174" s="305"/>
      <c r="T174" s="57"/>
      <c r="U174" s="2"/>
      <c r="V174" s="2"/>
      <c r="W174" s="199"/>
      <c r="X174" s="198"/>
      <c r="Y174" s="198"/>
      <c r="Z174" s="198"/>
      <c r="AA174" s="274"/>
      <c r="AB174" s="21"/>
      <c r="AC174" s="21"/>
      <c r="AD174" s="21"/>
      <c r="AE174" s="21"/>
      <c r="AF174" s="355"/>
      <c r="AG174" s="20"/>
      <c r="AH174" s="21"/>
      <c r="AI174" s="21"/>
      <c r="AJ174" s="22"/>
      <c r="AK174" s="29"/>
      <c r="AL174" s="19"/>
      <c r="AM174" s="57"/>
      <c r="AN174" s="2"/>
      <c r="AO174" s="2"/>
      <c r="AP174" s="63"/>
      <c r="AQ174" s="68"/>
      <c r="AR174" s="21"/>
      <c r="AS174" s="21"/>
      <c r="AT174" s="21"/>
      <c r="AU174" s="240"/>
      <c r="AV174" s="19"/>
      <c r="AW174" s="195"/>
      <c r="AX174" s="2"/>
      <c r="AY174" s="238"/>
      <c r="BB174" s="19"/>
      <c r="BC174" s="24"/>
    </row>
    <row r="175" spans="1:79">
      <c r="A175" s="699"/>
      <c r="B175" s="23"/>
      <c r="C175" s="17" t="s">
        <v>35</v>
      </c>
      <c r="D175" s="57"/>
      <c r="E175" s="2"/>
      <c r="F175" s="2"/>
      <c r="G175" s="63"/>
      <c r="H175" s="2"/>
      <c r="I175" s="20"/>
      <c r="J175" s="21"/>
      <c r="K175" s="21"/>
      <c r="L175" s="22"/>
      <c r="M175" s="2"/>
      <c r="N175" s="23"/>
      <c r="O175" s="19"/>
      <c r="P175" s="19"/>
      <c r="Q175" s="19"/>
      <c r="R175" s="305"/>
      <c r="T175" s="57"/>
      <c r="U175" s="2"/>
      <c r="V175" s="2"/>
      <c r="W175" s="199"/>
      <c r="X175" s="198"/>
      <c r="Y175" s="198"/>
      <c r="Z175" s="198"/>
      <c r="AA175" s="274"/>
      <c r="AB175" s="21"/>
      <c r="AC175" s="21"/>
      <c r="AD175" s="21"/>
      <c r="AE175" s="21"/>
      <c r="AF175" s="355"/>
      <c r="AG175" s="20"/>
      <c r="AH175" s="21"/>
      <c r="AI175" s="21"/>
      <c r="AJ175" s="22"/>
      <c r="AK175" s="29"/>
      <c r="AL175" s="19"/>
      <c r="AM175" s="57"/>
      <c r="AN175" s="2"/>
      <c r="AO175" s="2"/>
      <c r="AP175" s="63"/>
      <c r="AQ175" s="68"/>
      <c r="AR175" s="21"/>
      <c r="AS175" s="21"/>
      <c r="AT175" s="21"/>
      <c r="AU175" s="240"/>
      <c r="AV175" s="19"/>
      <c r="AW175" s="195"/>
      <c r="AX175" s="2"/>
      <c r="AY175" s="238"/>
      <c r="BB175" s="19"/>
      <c r="BC175" s="24"/>
    </row>
    <row r="176" spans="1:79">
      <c r="A176" s="699"/>
      <c r="B176" s="23"/>
      <c r="C176" s="17" t="s">
        <v>36</v>
      </c>
      <c r="D176" s="57"/>
      <c r="E176" s="2"/>
      <c r="F176" s="2"/>
      <c r="G176" s="63"/>
      <c r="H176" s="2"/>
      <c r="I176" s="20"/>
      <c r="J176" s="21"/>
      <c r="K176" s="21"/>
      <c r="L176" s="22"/>
      <c r="M176" s="2"/>
      <c r="N176" s="23"/>
      <c r="O176" s="19"/>
      <c r="P176" s="19"/>
      <c r="Q176" s="19"/>
      <c r="R176" s="305"/>
      <c r="T176" s="57"/>
      <c r="U176" s="2"/>
      <c r="V176" s="2"/>
      <c r="W176" s="199"/>
      <c r="X176" s="198"/>
      <c r="Y176" s="198"/>
      <c r="Z176" s="198"/>
      <c r="AA176" s="274"/>
      <c r="AB176" s="21"/>
      <c r="AC176" s="21"/>
      <c r="AD176" s="21"/>
      <c r="AE176" s="21"/>
      <c r="AF176" s="355"/>
      <c r="AG176" s="20"/>
      <c r="AH176" s="21"/>
      <c r="AI176" s="21"/>
      <c r="AJ176" s="22"/>
      <c r="AK176" s="29"/>
      <c r="AL176" s="19"/>
      <c r="AM176" s="57"/>
      <c r="AN176" s="2"/>
      <c r="AO176" s="2"/>
      <c r="AP176" s="63"/>
      <c r="AQ176" s="68"/>
      <c r="AR176" s="21"/>
      <c r="AS176" s="21"/>
      <c r="AT176" s="21"/>
      <c r="AU176" s="240"/>
      <c r="AV176" s="19"/>
      <c r="AW176" s="195"/>
      <c r="AX176" s="2"/>
      <c r="AY176" s="238"/>
      <c r="BB176" s="19"/>
      <c r="BC176" s="24"/>
    </row>
    <row r="177" spans="1:79" s="90" customFormat="1">
      <c r="A177" s="699"/>
      <c r="B177" s="91" t="s">
        <v>43</v>
      </c>
      <c r="C177" s="92"/>
      <c r="D177" s="93"/>
      <c r="E177" s="94"/>
      <c r="F177" s="94"/>
      <c r="G177" s="95"/>
      <c r="H177" s="94"/>
      <c r="I177" s="96"/>
      <c r="J177" s="97"/>
      <c r="K177" s="97"/>
      <c r="L177" s="98"/>
      <c r="M177" s="94"/>
      <c r="N177" s="96"/>
      <c r="O177" s="97"/>
      <c r="P177" s="97"/>
      <c r="Q177" s="97"/>
      <c r="R177" s="102"/>
      <c r="T177" s="93"/>
      <c r="U177" s="94"/>
      <c r="V177" s="94"/>
      <c r="W177" s="211"/>
      <c r="X177" s="289"/>
      <c r="Y177" s="289"/>
      <c r="Z177" s="289"/>
      <c r="AA177" s="280"/>
      <c r="AB177" s="97"/>
      <c r="AC177" s="97"/>
      <c r="AD177" s="97"/>
      <c r="AE177" s="97"/>
      <c r="AF177" s="568"/>
      <c r="AG177" s="96"/>
      <c r="AH177" s="97"/>
      <c r="AI177" s="97"/>
      <c r="AJ177" s="98"/>
      <c r="AK177" s="102"/>
      <c r="AL177" s="103"/>
      <c r="AM177" s="93"/>
      <c r="AN177" s="94"/>
      <c r="AO177" s="94"/>
      <c r="AP177" s="95"/>
      <c r="AQ177" s="100"/>
      <c r="AR177" s="97"/>
      <c r="AS177" s="97"/>
      <c r="AT177" s="97"/>
      <c r="AU177" s="104"/>
      <c r="AV177" s="97"/>
      <c r="AW177" s="98"/>
      <c r="AX177" s="94"/>
      <c r="AY177" s="239"/>
      <c r="BB177" s="97"/>
      <c r="BC177" s="105"/>
      <c r="BG177" s="143"/>
      <c r="BU177" s="6"/>
      <c r="BV177" s="6"/>
      <c r="BW177" s="6"/>
      <c r="BX177" s="6"/>
      <c r="BY177" s="6"/>
      <c r="BZ177" s="6"/>
      <c r="CA177" s="6"/>
    </row>
    <row r="178" spans="1:79" s="106" customFormat="1">
      <c r="A178" s="699"/>
      <c r="B178" s="107" t="s">
        <v>67</v>
      </c>
      <c r="C178" s="108"/>
      <c r="D178" s="109"/>
      <c r="E178" s="110"/>
      <c r="F178" s="110"/>
      <c r="G178" s="111"/>
      <c r="H178" s="110"/>
      <c r="I178" s="112">
        <f>D191*'[2]Lfill en &amp; composn'!B$137</f>
        <v>234633.20559222644</v>
      </c>
      <c r="J178" s="113">
        <f>(E191-J187)*SUM('[2]C&amp;I composn'!$D$21:$D$22)</f>
        <v>157224.11313878521</v>
      </c>
      <c r="K178" s="113">
        <f>(F191-K187)*'[2]Lfill en &amp; composn'!C$148</f>
        <v>27843.044382411437</v>
      </c>
      <c r="L178" s="114">
        <f>SUM(I178:K178)</f>
        <v>419700.36311342311</v>
      </c>
      <c r="M178" s="110"/>
      <c r="N178" s="112">
        <f>I178</f>
        <v>234633.20559222644</v>
      </c>
      <c r="O178" s="113">
        <f t="shared" ref="O178:O179" si="74">J178</f>
        <v>157224.11313878521</v>
      </c>
      <c r="P178" s="113">
        <f t="shared" ref="P178:P179" si="75">K178</f>
        <v>27843.044382411437</v>
      </c>
      <c r="Q178" s="114">
        <f>SUM(N178:P178)</f>
        <v>419700.36311342311</v>
      </c>
      <c r="R178" s="118">
        <f>Q178/[2]Popn!$E$41*1000</f>
        <v>96.897664337366834</v>
      </c>
      <c r="T178" s="202">
        <f>[2]PACIA!$H$29*[2]PACIA!I$29</f>
        <v>16585.807000000001</v>
      </c>
      <c r="U178" s="130">
        <f>[2]PACIA!$H$29*[2]PACIA!J$29</f>
        <v>11904.099</v>
      </c>
      <c r="V178" s="130">
        <f>[2]PACIA!$H$29*[2]PACIA!K$29</f>
        <v>57.094000000000001</v>
      </c>
      <c r="W178" s="203"/>
      <c r="X178" s="130"/>
      <c r="Y178" s="130"/>
      <c r="Z178" s="130"/>
      <c r="AA178" s="276"/>
      <c r="AB178" s="113"/>
      <c r="AC178" s="113"/>
      <c r="AD178" s="113"/>
      <c r="AE178" s="113"/>
      <c r="AF178" s="567"/>
      <c r="AG178" s="112">
        <f>T178</f>
        <v>16585.807000000001</v>
      </c>
      <c r="AH178" s="113">
        <f>U178</f>
        <v>11904.099</v>
      </c>
      <c r="AI178" s="113">
        <f>V178</f>
        <v>57.094000000000001</v>
      </c>
      <c r="AJ178" s="114">
        <f>SUM(AG178:AI178)</f>
        <v>28547.000000000004</v>
      </c>
      <c r="AK178" s="115">
        <f>AJ178/[2]Popn!$E$41*1000</f>
        <v>6.5907439376964954</v>
      </c>
      <c r="AL178" s="119"/>
      <c r="AM178" s="109"/>
      <c r="AN178" s="110"/>
      <c r="AO178" s="110"/>
      <c r="AP178" s="111"/>
      <c r="AQ178" s="116"/>
      <c r="AR178" s="113"/>
      <c r="AS178" s="113"/>
      <c r="AT178" s="113"/>
      <c r="AU178" s="120"/>
      <c r="AV178" s="113"/>
      <c r="AW178" s="114"/>
      <c r="AX178" s="110"/>
      <c r="AY178" s="237"/>
      <c r="BB178" s="113"/>
      <c r="BC178" s="118">
        <f>BB178/[2]Popn!$E$41*1000</f>
        <v>0</v>
      </c>
      <c r="BG178" s="144"/>
      <c r="BU178" s="90"/>
      <c r="BV178" s="90"/>
      <c r="BW178" s="90"/>
      <c r="BX178" s="90"/>
      <c r="BY178" s="90"/>
      <c r="BZ178" s="90"/>
      <c r="CA178" s="90"/>
    </row>
    <row r="179" spans="1:79" s="106" customFormat="1">
      <c r="A179" s="699"/>
      <c r="B179" s="37" t="s">
        <v>8</v>
      </c>
      <c r="C179" s="129" t="s">
        <v>8</v>
      </c>
      <c r="D179" s="109"/>
      <c r="E179" s="110"/>
      <c r="F179" s="110"/>
      <c r="G179" s="111"/>
      <c r="H179" s="110"/>
      <c r="I179" s="112">
        <f>D191*'[2]Lfill en &amp; composn'!B$138</f>
        <v>87664.40320381237</v>
      </c>
      <c r="J179" s="113">
        <f>(E191-J187)*SUM('[2]C&amp;I composn'!$D$23:$D$24)</f>
        <v>11551.794292488017</v>
      </c>
      <c r="K179" s="113">
        <f>(F191-K187)*'[2]Lfill en &amp; composn'!C$149</f>
        <v>5966.0550915820295</v>
      </c>
      <c r="L179" s="114">
        <f>SUM(I179:K179)</f>
        <v>105182.25258788242</v>
      </c>
      <c r="M179" s="110"/>
      <c r="N179" s="112">
        <f>I179</f>
        <v>87664.40320381237</v>
      </c>
      <c r="O179" s="113">
        <f t="shared" si="74"/>
        <v>11551.794292488017</v>
      </c>
      <c r="P179" s="113">
        <f t="shared" si="75"/>
        <v>5966.0550915820295</v>
      </c>
      <c r="Q179" s="114">
        <f>SUM(N179:P179)</f>
        <v>105182.25258788242</v>
      </c>
      <c r="R179" s="118">
        <f>Q179/[2]Popn!$E$41*1000</f>
        <v>24.283787914556608</v>
      </c>
      <c r="T179" s="109"/>
      <c r="U179" s="110"/>
      <c r="V179" s="110"/>
      <c r="W179" s="199"/>
      <c r="X179" s="198"/>
      <c r="Y179" s="198"/>
      <c r="Z179" s="198"/>
      <c r="AA179" s="276"/>
      <c r="AB179" s="113"/>
      <c r="AC179" s="113"/>
      <c r="AD179" s="113"/>
      <c r="AE179" s="113">
        <f>SUM(T191:V191)*[2]QLD!$E$106</f>
        <v>86724.576009867393</v>
      </c>
      <c r="AF179" s="567"/>
      <c r="AJ179" s="114">
        <f>AE179</f>
        <v>86724.576009867393</v>
      </c>
      <c r="AK179" s="118">
        <f>AJ179/[2]Popn!$E$41*1000</f>
        <v>20.022400728144198</v>
      </c>
      <c r="AL179" s="119"/>
      <c r="AM179" s="109"/>
      <c r="AN179" s="110"/>
      <c r="AO179" s="110"/>
      <c r="AP179" s="111"/>
      <c r="AQ179" s="116"/>
      <c r="AR179" s="113"/>
      <c r="AS179" s="113"/>
      <c r="AT179" s="113"/>
      <c r="AU179" s="120"/>
      <c r="AV179" s="113"/>
      <c r="AW179" s="114"/>
      <c r="AX179" s="110"/>
      <c r="AY179" s="237"/>
      <c r="BB179" s="113"/>
      <c r="BC179" s="121"/>
      <c r="BG179" s="144"/>
    </row>
    <row r="180" spans="1:79">
      <c r="A180" s="699"/>
      <c r="B180" s="23" t="s">
        <v>7</v>
      </c>
      <c r="C180" s="17" t="s">
        <v>9</v>
      </c>
      <c r="D180" s="57"/>
      <c r="E180" s="2"/>
      <c r="F180" s="2"/>
      <c r="G180" s="63"/>
      <c r="H180" s="2"/>
      <c r="I180" s="20"/>
      <c r="J180" s="21">
        <f>(E191-J187)*'[2]C&amp;I composn'!$D$25</f>
        <v>23539.985028624364</v>
      </c>
      <c r="K180" s="21"/>
      <c r="L180" s="22"/>
      <c r="M180" s="2"/>
      <c r="N180" s="20"/>
      <c r="O180" s="21"/>
      <c r="P180" s="21"/>
      <c r="Q180" s="22"/>
      <c r="R180" s="29"/>
      <c r="T180" s="57"/>
      <c r="U180" s="2"/>
      <c r="V180" s="2"/>
      <c r="W180" s="199"/>
      <c r="X180" s="198"/>
      <c r="Y180" s="198"/>
      <c r="Z180" s="198"/>
      <c r="AA180" s="274"/>
      <c r="AB180" s="21"/>
      <c r="AC180" s="21"/>
      <c r="AD180" s="21"/>
      <c r="AE180" s="21"/>
      <c r="AF180" s="355"/>
      <c r="AG180" s="20"/>
      <c r="AH180" s="21"/>
      <c r="AI180" s="21"/>
      <c r="AJ180" s="22"/>
      <c r="AK180" s="29"/>
      <c r="AL180" s="19"/>
      <c r="AM180" s="57"/>
      <c r="AN180" s="2"/>
      <c r="AO180" s="2"/>
      <c r="AP180" s="63"/>
      <c r="AQ180" s="68"/>
      <c r="AR180" s="21"/>
      <c r="AS180" s="35"/>
      <c r="AT180" s="21"/>
      <c r="AU180" s="25"/>
      <c r="AV180" s="21"/>
      <c r="AW180" s="22"/>
      <c r="AX180" s="2"/>
      <c r="AY180" s="238"/>
      <c r="BB180" s="21"/>
      <c r="BC180" s="29"/>
      <c r="BU180" s="106"/>
      <c r="BV180" s="106"/>
      <c r="BW180" s="106"/>
      <c r="BX180" s="106"/>
      <c r="BY180" s="106"/>
      <c r="BZ180" s="106"/>
      <c r="CA180" s="106"/>
    </row>
    <row r="181" spans="1:79">
      <c r="A181" s="699"/>
      <c r="B181" s="23"/>
      <c r="C181" s="17" t="s">
        <v>10</v>
      </c>
      <c r="D181" s="57"/>
      <c r="E181" s="2"/>
      <c r="F181" s="2"/>
      <c r="G181" s="63"/>
      <c r="H181" s="2"/>
      <c r="I181" s="20"/>
      <c r="J181" s="21">
        <f>(E191-J187)*'[2]C&amp;I composn'!$D$26</f>
        <v>8699.8678742951815</v>
      </c>
      <c r="K181" s="21"/>
      <c r="L181" s="22"/>
      <c r="M181" s="2"/>
      <c r="N181" s="20"/>
      <c r="O181" s="21"/>
      <c r="P181" s="21"/>
      <c r="Q181" s="22"/>
      <c r="R181" s="305"/>
      <c r="T181" s="57"/>
      <c r="U181" s="2"/>
      <c r="V181" s="2"/>
      <c r="W181" s="199"/>
      <c r="X181" s="198"/>
      <c r="Y181" s="198"/>
      <c r="Z181" s="198"/>
      <c r="AA181" s="274"/>
      <c r="AB181" s="21"/>
      <c r="AC181" s="21"/>
      <c r="AD181" s="21"/>
      <c r="AE181" s="21">
        <f>SUM(T191:V191)*[2]QLD!$E$107</f>
        <v>41493.223866790009</v>
      </c>
      <c r="AF181" s="355"/>
      <c r="AG181" s="20"/>
      <c r="AH181" s="21"/>
      <c r="AI181" s="21"/>
      <c r="AJ181" s="22">
        <f>AE181</f>
        <v>41493.223866790009</v>
      </c>
      <c r="AK181" s="29">
        <f>AJ181/[2]Popn!$E$41*1000</f>
        <v>9.5796831070000277</v>
      </c>
      <c r="AL181" s="19"/>
      <c r="AM181" s="57"/>
      <c r="AN181" s="2"/>
      <c r="AO181" s="2"/>
      <c r="AP181" s="63"/>
      <c r="AQ181" s="68"/>
      <c r="AR181" s="21"/>
      <c r="AS181" s="21"/>
      <c r="AT181" s="21"/>
      <c r="AU181" s="240"/>
      <c r="AV181" s="21"/>
      <c r="AW181" s="195"/>
      <c r="AX181" s="2"/>
      <c r="AY181" s="238"/>
      <c r="BB181" s="21"/>
      <c r="BC181" s="29"/>
    </row>
    <row r="182" spans="1:79" s="106" customFormat="1">
      <c r="A182" s="699"/>
      <c r="B182" s="107" t="s">
        <v>67</v>
      </c>
      <c r="C182" s="108"/>
      <c r="D182" s="109"/>
      <c r="E182" s="110"/>
      <c r="F182" s="110"/>
      <c r="G182" s="111"/>
      <c r="H182" s="110"/>
      <c r="I182" s="112">
        <f>D191*'[2]Lfill en &amp; composn'!B$139</f>
        <v>45350</v>
      </c>
      <c r="J182" s="113">
        <f>SUM(J180:J181)</f>
        <v>32239.852902919545</v>
      </c>
      <c r="K182" s="113">
        <f>(F191-K187)*'[2]Lfill en &amp; composn'!C$150</f>
        <v>0</v>
      </c>
      <c r="L182" s="114">
        <f>SUM(I182:K182)</f>
        <v>77589.852902919549</v>
      </c>
      <c r="M182" s="110"/>
      <c r="N182" s="112">
        <f>I182-AU182</f>
        <v>42782.952082119031</v>
      </c>
      <c r="O182" s="113">
        <f t="shared" ref="O182" si="76">J182-AV182</f>
        <v>30414.908089970741</v>
      </c>
      <c r="P182" s="113">
        <f t="shared" ref="P182" si="77">K182-AW182</f>
        <v>0</v>
      </c>
      <c r="Q182" s="114">
        <f>SUM(N182:P182)</f>
        <v>73197.860172089771</v>
      </c>
      <c r="R182" s="118">
        <f>Q182/[2]Popn!$E$41*1000</f>
        <v>16.899441383737567</v>
      </c>
      <c r="T182" s="109"/>
      <c r="U182" s="110"/>
      <c r="V182" s="110"/>
      <c r="W182" s="203"/>
      <c r="X182" s="130"/>
      <c r="Y182" s="130"/>
      <c r="Z182" s="130"/>
      <c r="AA182" s="276"/>
      <c r="AB182" s="113"/>
      <c r="AC182" s="113"/>
      <c r="AD182" s="113"/>
      <c r="AE182" s="113"/>
      <c r="AF182" s="567"/>
      <c r="AG182" s="112"/>
      <c r="AH182" s="113"/>
      <c r="AI182" s="113"/>
      <c r="AJ182" s="114">
        <f>SUM(AJ180:AJ181)</f>
        <v>41493.223866790009</v>
      </c>
      <c r="AK182" s="115">
        <f>AJ182/[2]Popn!$E$41*1000</f>
        <v>9.5796831070000277</v>
      </c>
      <c r="AL182" s="119"/>
      <c r="AM182" s="109"/>
      <c r="AN182" s="110"/>
      <c r="AO182" s="110"/>
      <c r="AP182" s="111"/>
      <c r="AQ182" s="116"/>
      <c r="AR182" s="113">
        <f>L182*'[2]Lfill en &amp; composn'!$D$25</f>
        <v>12220.401832209829</v>
      </c>
      <c r="AS182" s="113">
        <f>AR182/SUM($AR$148:$AR$190)</f>
        <v>3.9008163293997984E-2</v>
      </c>
      <c r="AT182" s="113">
        <f>AS182*'[2]Lfill en &amp; composn'!$E$64/'[2]Lfill en &amp; composn'!$B$25</f>
        <v>4391.9927308297756</v>
      </c>
      <c r="AU182" s="120">
        <f>$AT182*I182/SUM($I182:$K182)</f>
        <v>2567.0479178809696</v>
      </c>
      <c r="AV182" s="113">
        <f>$AT182*J182/SUM($I182:$K182)</f>
        <v>1824.944812948806</v>
      </c>
      <c r="AW182" s="114">
        <f>$AT182*K182/SUM($I182:$K182)</f>
        <v>0</v>
      </c>
      <c r="AX182" s="110"/>
      <c r="AY182" s="241">
        <f>AU182</f>
        <v>2567.0479178809696</v>
      </c>
      <c r="AZ182" s="242">
        <f>AV182</f>
        <v>1824.944812948806</v>
      </c>
      <c r="BA182" s="242">
        <f>AW182</f>
        <v>0</v>
      </c>
      <c r="BB182" s="243">
        <f>SUM(AY182:BA182)</f>
        <v>4391.9927308297756</v>
      </c>
      <c r="BC182" s="118">
        <f>BB182/[2]Popn!$E$41*1000</f>
        <v>1.0139944465311035</v>
      </c>
      <c r="BD182" s="122"/>
      <c r="BG182" s="144"/>
      <c r="BU182" s="6"/>
      <c r="BV182" s="6"/>
      <c r="BW182" s="6"/>
      <c r="BX182" s="6"/>
      <c r="BY182" s="6"/>
      <c r="BZ182" s="6"/>
      <c r="CA182" s="6"/>
    </row>
    <row r="183" spans="1:79">
      <c r="A183" s="699"/>
      <c r="B183" s="23" t="s">
        <v>11</v>
      </c>
      <c r="C183" s="17" t="s">
        <v>12</v>
      </c>
      <c r="D183" s="57"/>
      <c r="E183" s="2"/>
      <c r="F183" s="2"/>
      <c r="G183" s="63"/>
      <c r="H183" s="2"/>
      <c r="I183" s="20"/>
      <c r="J183" s="21"/>
      <c r="K183" s="21"/>
      <c r="L183" s="22"/>
      <c r="M183" s="256"/>
      <c r="N183" s="20"/>
      <c r="O183" s="21"/>
      <c r="P183" s="21"/>
      <c r="Q183" s="22"/>
      <c r="R183" s="305"/>
      <c r="T183" s="57"/>
      <c r="U183" s="2"/>
      <c r="V183" s="2"/>
      <c r="W183" s="199"/>
      <c r="X183" s="198"/>
      <c r="Y183" s="198"/>
      <c r="Z183" s="198"/>
      <c r="AA183" s="274"/>
      <c r="AB183" s="21"/>
      <c r="AC183" s="21"/>
      <c r="AD183" s="21"/>
      <c r="AE183" s="21"/>
      <c r="AF183" s="569" t="s">
        <v>96</v>
      </c>
      <c r="AG183" s="20"/>
      <c r="AH183" s="21"/>
      <c r="AI183" s="21"/>
      <c r="AJ183" s="22"/>
      <c r="AK183" s="29"/>
      <c r="AL183" s="19"/>
      <c r="AM183" s="57"/>
      <c r="AN183" s="2"/>
      <c r="AO183" s="2"/>
      <c r="AP183" s="63"/>
      <c r="AQ183" s="68"/>
      <c r="AR183" s="21"/>
      <c r="AS183" s="21"/>
      <c r="AT183" s="21"/>
      <c r="AU183" s="25"/>
      <c r="AV183" s="21"/>
      <c r="AW183" s="22"/>
      <c r="AX183" s="256" t="s">
        <v>96</v>
      </c>
      <c r="AY183" s="23"/>
      <c r="AZ183" s="19"/>
      <c r="BA183" s="19"/>
      <c r="BB183" s="19"/>
      <c r="BC183" s="24"/>
      <c r="BU183" s="106"/>
      <c r="BV183" s="106"/>
      <c r="BW183" s="106"/>
      <c r="BX183" s="106"/>
      <c r="BY183" s="106"/>
      <c r="BZ183" s="106"/>
      <c r="CA183" s="106"/>
    </row>
    <row r="184" spans="1:79">
      <c r="A184" s="699"/>
      <c r="B184" s="23"/>
      <c r="C184" s="17" t="s">
        <v>13</v>
      </c>
      <c r="D184" s="57"/>
      <c r="E184" s="2"/>
      <c r="F184" s="2"/>
      <c r="G184" s="156">
        <f>[2]QLD!$C$19</f>
        <v>536338</v>
      </c>
      <c r="H184" s="3"/>
      <c r="I184" s="20"/>
      <c r="J184" s="21"/>
      <c r="K184" s="21">
        <f>G184</f>
        <v>536338</v>
      </c>
      <c r="L184" s="22">
        <f>K184</f>
        <v>536338</v>
      </c>
      <c r="M184" s="256" t="s">
        <v>95</v>
      </c>
      <c r="N184" s="20"/>
      <c r="O184" s="21"/>
      <c r="P184" s="21">
        <f>K184</f>
        <v>536338</v>
      </c>
      <c r="Q184" s="22">
        <f>SUM(N184:P184)</f>
        <v>536338</v>
      </c>
      <c r="R184" s="29"/>
      <c r="T184" s="57"/>
      <c r="U184" s="2"/>
      <c r="V184" s="2"/>
      <c r="W184" s="199"/>
      <c r="X184" s="198"/>
      <c r="Y184" s="198"/>
      <c r="Z184" s="198"/>
      <c r="AA184" s="282"/>
      <c r="AB184" s="21"/>
      <c r="AC184" s="21"/>
      <c r="AD184" s="21"/>
      <c r="AE184" s="21"/>
      <c r="AF184" s="569" t="s">
        <v>95</v>
      </c>
      <c r="AG184" s="20"/>
      <c r="AH184" s="21"/>
      <c r="AI184" s="21"/>
      <c r="AJ184" s="22"/>
      <c r="AK184" s="29"/>
      <c r="AL184" s="19"/>
      <c r="AM184" s="57"/>
      <c r="AN184" s="2"/>
      <c r="AO184" s="2"/>
      <c r="AP184" s="254"/>
      <c r="AQ184" s="69"/>
      <c r="AR184" s="21"/>
      <c r="AS184" s="21"/>
      <c r="AT184" s="21"/>
      <c r="AU184" s="25"/>
      <c r="AV184" s="21"/>
      <c r="AW184" s="22"/>
      <c r="AX184" s="256" t="s">
        <v>95</v>
      </c>
      <c r="AY184" s="20"/>
      <c r="AZ184" s="21"/>
      <c r="BA184" s="21"/>
      <c r="BB184" s="21"/>
      <c r="BC184" s="24"/>
    </row>
    <row r="185" spans="1:79">
      <c r="A185" s="699"/>
      <c r="B185" s="23"/>
      <c r="C185" s="17" t="s">
        <v>14</v>
      </c>
      <c r="D185" s="57"/>
      <c r="E185" s="2"/>
      <c r="F185" s="2"/>
      <c r="G185" s="156">
        <f>'[2]Haz-Qld'!$F$20</f>
        <v>150439</v>
      </c>
      <c r="H185" s="3"/>
      <c r="I185" s="20"/>
      <c r="J185" s="21">
        <f>G185</f>
        <v>150439</v>
      </c>
      <c r="K185" s="21"/>
      <c r="L185" s="22">
        <f>J185</f>
        <v>150439</v>
      </c>
      <c r="M185" s="256" t="s">
        <v>96</v>
      </c>
      <c r="N185" s="20"/>
      <c r="O185" s="21">
        <f>J185</f>
        <v>150439</v>
      </c>
      <c r="P185" s="21"/>
      <c r="Q185" s="22">
        <f>SUM(N185:P185)</f>
        <v>150439</v>
      </c>
      <c r="R185" s="29"/>
      <c r="T185" s="57"/>
      <c r="U185" s="2"/>
      <c r="V185" s="2"/>
      <c r="W185" s="199">
        <f>'[2]Haz-Qld'!$T$15</f>
        <v>42634</v>
      </c>
      <c r="X185" s="198"/>
      <c r="Y185" s="198"/>
      <c r="Z185" s="198"/>
      <c r="AA185" s="282"/>
      <c r="AB185" s="21"/>
      <c r="AC185" s="21"/>
      <c r="AD185" s="21"/>
      <c r="AE185" s="21"/>
      <c r="AF185" s="569" t="s">
        <v>96</v>
      </c>
      <c r="AG185" s="20"/>
      <c r="AH185" s="21">
        <f>W185</f>
        <v>42634</v>
      </c>
      <c r="AI185" s="21"/>
      <c r="AJ185" s="22">
        <f>SUM(AG185:AI185)</f>
        <v>42634</v>
      </c>
      <c r="AK185" s="29">
        <f>AJ185/[2]Popn!$E$41*1000</f>
        <v>9.8430580109907293</v>
      </c>
      <c r="AL185" s="19"/>
      <c r="AM185" s="57"/>
      <c r="AN185" s="2"/>
      <c r="AO185" s="2"/>
      <c r="AP185" s="254">
        <f>'[2]Haz-Qld'!$M$20</f>
        <v>7313</v>
      </c>
      <c r="AQ185" s="69"/>
      <c r="AR185" s="21"/>
      <c r="AS185" s="21"/>
      <c r="AT185" s="21"/>
      <c r="AU185" s="25"/>
      <c r="AV185" s="21"/>
      <c r="AW185" s="22"/>
      <c r="AX185" s="256" t="s">
        <v>96</v>
      </c>
      <c r="AY185" s="23"/>
      <c r="AZ185" s="21">
        <f>AP185</f>
        <v>7313</v>
      </c>
      <c r="BA185" s="19"/>
      <c r="BB185" s="641">
        <f>SUM(AY185:BA185)</f>
        <v>7313</v>
      </c>
      <c r="BC185" s="24"/>
    </row>
    <row r="186" spans="1:79">
      <c r="A186" s="699"/>
      <c r="B186" s="23"/>
      <c r="C186" s="17" t="s">
        <v>15</v>
      </c>
      <c r="D186" s="57"/>
      <c r="E186" s="2"/>
      <c r="F186" s="2"/>
      <c r="G186" s="156">
        <f>'[2]Haz-Qld'!$F$21</f>
        <v>48577</v>
      </c>
      <c r="H186" s="3"/>
      <c r="I186" s="20"/>
      <c r="J186" s="21">
        <f>G186</f>
        <v>48577</v>
      </c>
      <c r="K186" s="21"/>
      <c r="L186" s="22">
        <f>G186</f>
        <v>48577</v>
      </c>
      <c r="M186" s="256" t="s">
        <v>96</v>
      </c>
      <c r="N186" s="20"/>
      <c r="O186" s="21">
        <f>J186</f>
        <v>48577</v>
      </c>
      <c r="P186" s="21"/>
      <c r="Q186" s="22">
        <f>SUM(N186:P186)</f>
        <v>48577</v>
      </c>
      <c r="R186" s="29"/>
      <c r="T186" s="57"/>
      <c r="U186" s="2"/>
      <c r="V186" s="2"/>
      <c r="W186" s="199"/>
      <c r="X186" s="198"/>
      <c r="Y186" s="198"/>
      <c r="Z186" s="198"/>
      <c r="AA186" s="282"/>
      <c r="AB186" s="21"/>
      <c r="AC186" s="21"/>
      <c r="AD186" s="21"/>
      <c r="AE186" s="21"/>
      <c r="AF186" s="569" t="s">
        <v>94</v>
      </c>
      <c r="AG186" s="20"/>
      <c r="AH186" s="21"/>
      <c r="AI186" s="21"/>
      <c r="AJ186" s="22"/>
      <c r="AK186" s="29"/>
      <c r="AL186" s="19"/>
      <c r="AM186" s="57"/>
      <c r="AN186" s="2"/>
      <c r="AO186" s="2"/>
      <c r="AP186" s="254"/>
      <c r="AQ186" s="69"/>
      <c r="AR186" s="21"/>
      <c r="AS186" s="21"/>
      <c r="AT186" s="21"/>
      <c r="AU186" s="25"/>
      <c r="AV186" s="21"/>
      <c r="AW186" s="22"/>
      <c r="AX186" s="256" t="s">
        <v>94</v>
      </c>
      <c r="AY186" s="23"/>
      <c r="AZ186" s="19"/>
      <c r="BA186" s="19"/>
      <c r="BB186" s="21"/>
      <c r="BC186" s="24"/>
    </row>
    <row r="187" spans="1:79" s="106" customFormat="1">
      <c r="A187" s="699"/>
      <c r="B187" s="107" t="s">
        <v>67</v>
      </c>
      <c r="C187" s="108"/>
      <c r="D187" s="109"/>
      <c r="E187" s="110"/>
      <c r="F187" s="110"/>
      <c r="G187" s="124"/>
      <c r="H187" s="125"/>
      <c r="I187" s="112">
        <f>D191*'[2]Lfill en &amp; composn'!B$140</f>
        <v>31487.141487566172</v>
      </c>
      <c r="J187" s="113">
        <f>SUM(J183:J186)</f>
        <v>199016</v>
      </c>
      <c r="K187" s="113">
        <f>SUM(K183:K186)</f>
        <v>536338</v>
      </c>
      <c r="L187" s="114">
        <f>SUM(I187:K187)</f>
        <v>766841.14148756617</v>
      </c>
      <c r="M187" s="110"/>
      <c r="N187" s="112">
        <f>I187</f>
        <v>31487.141487566172</v>
      </c>
      <c r="O187" s="113">
        <f t="shared" ref="O187" si="78">J187</f>
        <v>199016</v>
      </c>
      <c r="P187" s="113">
        <f t="shared" ref="P187" si="79">K187</f>
        <v>536338</v>
      </c>
      <c r="Q187" s="114">
        <f>SUM(N187:P187)</f>
        <v>766841.14148756617</v>
      </c>
      <c r="R187" s="118">
        <f>Q187/[2]Popn!$E$41*1000</f>
        <v>177.0432481323935</v>
      </c>
      <c r="T187" s="109"/>
      <c r="U187" s="110"/>
      <c r="V187" s="110"/>
      <c r="W187" s="203"/>
      <c r="X187" s="130"/>
      <c r="Y187" s="130"/>
      <c r="Z187" s="130"/>
      <c r="AA187" s="284"/>
      <c r="AB187" s="113"/>
      <c r="AC187" s="113"/>
      <c r="AD187" s="113"/>
      <c r="AE187" s="113"/>
      <c r="AF187" s="567"/>
      <c r="AG187" s="112"/>
      <c r="AH187" s="113"/>
      <c r="AI187" s="113"/>
      <c r="AJ187" s="114">
        <f>SUM(AJ183:AJ186)</f>
        <v>42634</v>
      </c>
      <c r="AK187" s="115">
        <f>AJ187/[2]Popn!$E$41*1000</f>
        <v>9.8430580109907293</v>
      </c>
      <c r="AL187" s="119"/>
      <c r="AM187" s="109"/>
      <c r="AN187" s="110"/>
      <c r="AO187" s="110"/>
      <c r="AP187" s="255"/>
      <c r="AQ187" s="126"/>
      <c r="AR187" s="113"/>
      <c r="AS187" s="113"/>
      <c r="AT187" s="113"/>
      <c r="AU187" s="120"/>
      <c r="AV187" s="113"/>
      <c r="AW187" s="114"/>
      <c r="AX187" s="110"/>
      <c r="AY187" s="127"/>
      <c r="AZ187" s="113">
        <f t="shared" ref="AZ187" si="80">SUM(AZ183:AZ186)</f>
        <v>7313</v>
      </c>
      <c r="BA187" s="119"/>
      <c r="BB187" s="243">
        <f>SUM(AY187:BA187)</f>
        <v>7313</v>
      </c>
      <c r="BC187" s="121"/>
      <c r="BG187" s="144"/>
      <c r="BU187" s="6"/>
      <c r="BV187" s="6"/>
      <c r="BW187" s="6"/>
      <c r="BX187" s="6"/>
      <c r="BY187" s="6"/>
      <c r="BZ187" s="6"/>
      <c r="CA187" s="6"/>
    </row>
    <row r="188" spans="1:79" s="106" customFormat="1" ht="13.5" thickBot="1">
      <c r="A188" s="699"/>
      <c r="B188" s="131" t="s">
        <v>37</v>
      </c>
      <c r="C188" s="132" t="s">
        <v>1</v>
      </c>
      <c r="D188" s="109"/>
      <c r="E188" s="110"/>
      <c r="F188" s="110"/>
      <c r="G188" s="203">
        <f>[2]QLD!$C$27</f>
        <v>4914089</v>
      </c>
      <c r="H188" s="130"/>
      <c r="I188" s="112"/>
      <c r="J188" s="113"/>
      <c r="K188" s="113"/>
      <c r="L188" s="114">
        <f>G188</f>
        <v>4914089</v>
      </c>
      <c r="M188" s="110"/>
      <c r="N188" s="127"/>
      <c r="O188" s="119"/>
      <c r="P188" s="119"/>
      <c r="Q188" s="113">
        <f>L188</f>
        <v>4914089</v>
      </c>
      <c r="R188" s="118">
        <f>Q188/[2]Popn!$E$41*1000</f>
        <v>1134.5326053893941</v>
      </c>
      <c r="T188" s="109"/>
      <c r="U188" s="110"/>
      <c r="V188" s="110"/>
      <c r="W188" s="203">
        <f>[2]QLD!$H$27</f>
        <v>929571</v>
      </c>
      <c r="X188" s="130"/>
      <c r="Y188" s="130"/>
      <c r="Z188" s="130"/>
      <c r="AA188" s="285"/>
      <c r="AB188" s="113"/>
      <c r="AC188" s="113"/>
      <c r="AD188" s="113"/>
      <c r="AE188" s="113"/>
      <c r="AF188" s="567"/>
      <c r="AG188" s="112"/>
      <c r="AH188" s="113"/>
      <c r="AI188" s="113"/>
      <c r="AJ188" s="114">
        <f>W188</f>
        <v>929571</v>
      </c>
      <c r="AK188" s="115">
        <f>AJ188/[2]Popn!$E$41*1000</f>
        <v>214.61324948010187</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79" ht="13.5" thickBot="1">
      <c r="B189" s="19"/>
      <c r="C189" s="38"/>
      <c r="D189" s="57"/>
      <c r="E189" s="2"/>
      <c r="F189" s="2"/>
      <c r="G189" s="63"/>
      <c r="H189" s="2"/>
      <c r="I189" s="20"/>
      <c r="J189" s="21"/>
      <c r="K189" s="21"/>
      <c r="L189" s="22"/>
      <c r="M189" s="2"/>
      <c r="N189" s="23"/>
      <c r="O189" s="19"/>
      <c r="P189" s="19"/>
      <c r="Q189" s="19"/>
      <c r="R189" s="24"/>
      <c r="T189" s="57"/>
      <c r="U189" s="2"/>
      <c r="V189" s="2"/>
      <c r="W189" s="63"/>
      <c r="X189" s="2"/>
      <c r="Y189" s="2"/>
      <c r="Z189" s="2"/>
      <c r="AA189" s="274"/>
      <c r="AB189" s="21"/>
      <c r="AC189" s="21"/>
      <c r="AD189" s="21"/>
      <c r="AE189" s="21"/>
      <c r="AF189" s="355"/>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row>
    <row r="190" spans="1:79" ht="13.5" thickBot="1">
      <c r="C190" s="210" t="s">
        <v>90</v>
      </c>
      <c r="D190" s="206"/>
      <c r="E190" s="207"/>
      <c r="F190" s="198"/>
      <c r="G190" s="208">
        <f>[2]QLD!$C$28</f>
        <v>4487413</v>
      </c>
      <c r="H190" s="2"/>
      <c r="I190" s="20"/>
      <c r="J190" s="21"/>
      <c r="K190" s="21"/>
      <c r="L190" s="22"/>
      <c r="M190" s="2"/>
      <c r="N190" s="23"/>
      <c r="O190" s="21"/>
      <c r="P190" s="19"/>
      <c r="Q190" s="19"/>
      <c r="R190" s="24"/>
      <c r="T190" s="58"/>
      <c r="U190" s="59"/>
      <c r="V190" s="2"/>
      <c r="W190" s="208">
        <f>SUM([2]QLD!$H$28,[2]QLD!$H$24)</f>
        <v>33580</v>
      </c>
      <c r="X190" s="198"/>
      <c r="Y190" s="198"/>
      <c r="Z190" s="198"/>
      <c r="AA190" s="274"/>
      <c r="AB190" s="21"/>
      <c r="AC190" s="21"/>
      <c r="AD190" s="21"/>
      <c r="AE190" s="21"/>
      <c r="AF190" s="355"/>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79" ht="13.5" thickBot="1">
      <c r="C191" s="135" t="s">
        <v>92</v>
      </c>
      <c r="D191" s="134">
        <f>[2]QLD!$C$12-[2]QLD!$O$56</f>
        <v>1814000</v>
      </c>
      <c r="E191" s="134">
        <f>[2]QLD!$C$17</f>
        <v>1362487</v>
      </c>
      <c r="F191" s="226">
        <f>[2]QLD!$C$18</f>
        <v>1229158</v>
      </c>
      <c r="G191" s="66"/>
      <c r="H191" s="220"/>
      <c r="I191" s="41">
        <f>SUM(I187,I182,I179,I178,I168,I163,I157,I153)</f>
        <v>1813999.9999999998</v>
      </c>
      <c r="J191" s="218">
        <f>SUM(J187,J182,J179,J178,J168,J163,J157,J153)</f>
        <v>1362487</v>
      </c>
      <c r="K191" s="218">
        <f>SUM(K187,K182,K179,K178,K168,K163,K157,K153)</f>
        <v>1229158</v>
      </c>
      <c r="L191" s="42">
        <f>SUM(L187,L182,L179,L178,L168,L163,L157,L153)</f>
        <v>4405645</v>
      </c>
      <c r="M191" s="43"/>
      <c r="N191" s="44">
        <f>SUM(N187,N182,N179,N178,N168,N163,N157,N153,N190)</f>
        <v>1734113.1490066517</v>
      </c>
      <c r="O191" s="45">
        <f>SUM(O187,O182,O179,O178,O168,O163,O157,O153,O190)</f>
        <v>1309654.4886957293</v>
      </c>
      <c r="P191" s="45">
        <f>SUM(P187,P182,P179,P178,P168,P163,P157,P153,P190)</f>
        <v>1222957.9088575775</v>
      </c>
      <c r="Q191" s="133">
        <f>SUM(Q187,Q182,Q179,Q178,Q168,Q163,Q157,Q153,Q190)</f>
        <v>4266725.5465599587</v>
      </c>
      <c r="R191" s="27">
        <f>SUM(R187,R182,R179,R178,R168,R163,R157,R153)</f>
        <v>985.07358145531271</v>
      </c>
      <c r="T191" s="60">
        <f>[2]QLD!$H$12</f>
        <v>1238000</v>
      </c>
      <c r="U191" s="134">
        <f>[2]QLD!$H$17</f>
        <v>1283000</v>
      </c>
      <c r="V191" s="134">
        <f>[2]QLD!$H$18</f>
        <v>1115825</v>
      </c>
      <c r="W191" s="66"/>
      <c r="X191" s="362"/>
      <c r="Y191" s="362"/>
      <c r="Z191" s="362"/>
      <c r="AA191" s="287"/>
      <c r="AB191" s="45"/>
      <c r="AC191" s="45"/>
      <c r="AD191" s="45"/>
      <c r="AE191" s="45"/>
      <c r="AF191" s="555"/>
      <c r="AG191" s="44">
        <f>$AJ191/SUM($T191:$V191)*T191</f>
        <v>1190831.1898427887</v>
      </c>
      <c r="AH191" s="45">
        <f>$AJ191/SUM($T191:$V191)*U191</f>
        <v>1234116.6531246349</v>
      </c>
      <c r="AI191" s="45">
        <f>$AJ191/SUM($T191:$V191)*V191</f>
        <v>1073311.1570325766</v>
      </c>
      <c r="AJ191" s="354">
        <f>SUM(AJ187,AJ182,AJ179,AJ178,AJ168,AJ163,AJ157,AJ153,AJ190)</f>
        <v>3498259</v>
      </c>
      <c r="AK191" s="27">
        <f>SUM(AK187,AK182,AK179,AK178,AK168,AK163,AK157,AK153,AK190)</f>
        <v>807.65507047122992</v>
      </c>
      <c r="AL191" s="19"/>
      <c r="AM191" s="60"/>
      <c r="AN191" s="706"/>
      <c r="AO191" s="707"/>
      <c r="AP191" s="66"/>
      <c r="AQ191" s="71"/>
      <c r="AR191" s="45">
        <f>SUM(AR148:AR190)</f>
        <v>313278.06285332405</v>
      </c>
      <c r="AS191" s="46">
        <f>SUM(AS148:AS190)</f>
        <v>0.99999999999999989</v>
      </c>
      <c r="AT191" s="45">
        <f>SUM(AT148:AT190)</f>
        <v>244618.2861646091</v>
      </c>
      <c r="AU191" s="47"/>
      <c r="AV191" s="45"/>
      <c r="AW191" s="214"/>
      <c r="AX191" s="43"/>
      <c r="AY191" s="44">
        <f>SUM(AY187,AY182,AY179,AY178,AY168,AY163,AY157,AY153)</f>
        <v>218886.85099334817</v>
      </c>
      <c r="AZ191" s="45">
        <f>SUM(AZ187,AZ182,AZ179,AZ178,AZ168,AZ163,AZ157,AZ153)</f>
        <v>109145.51130427051</v>
      </c>
      <c r="BA191" s="45">
        <f>SUM(BA187,BA182,BA179,BA178,BA168,BA163,BA157,BA153)</f>
        <v>6200.0911424223132</v>
      </c>
      <c r="BB191" s="354">
        <f>SUM(BB187,BB182,BB179,BB178,BB168,BB163,BB157,BB153,BB190)</f>
        <v>334232.45344004093</v>
      </c>
      <c r="BC191" s="27">
        <f>SUM(BC187,BC182,BC179,BC178,BC168,BC163,BC157,BC153,BC190)</f>
        <v>75.477017055207256</v>
      </c>
    </row>
    <row r="192" spans="1:79" ht="13.5" thickBot="1">
      <c r="C192" s="136" t="s">
        <v>65</v>
      </c>
      <c r="Q192" s="49">
        <f>Q191+Q188</f>
        <v>9180814.5465599597</v>
      </c>
      <c r="R192" s="216">
        <f>R191+R188</f>
        <v>2119.6061868447068</v>
      </c>
      <c r="AJ192" s="353">
        <f>AJ191+AJ188</f>
        <v>4427830</v>
      </c>
      <c r="AK192" s="216">
        <f>AK191+AK188</f>
        <v>1022.2683199513318</v>
      </c>
      <c r="BB192" s="353">
        <f>BB191+BB188</f>
        <v>334232.45344004093</v>
      </c>
      <c r="BC192" s="216">
        <f>BC191+BC188</f>
        <v>75.477017055207256</v>
      </c>
    </row>
    <row r="194" spans="1:79" ht="13.5" thickBot="1">
      <c r="C194" s="89"/>
      <c r="AG194" s="215"/>
      <c r="AH194" s="215"/>
      <c r="AI194" s="215"/>
      <c r="AJ194" s="215"/>
      <c r="AT194" s="215"/>
      <c r="AU194" s="215"/>
      <c r="AV194" s="215"/>
      <c r="AW194" s="215"/>
    </row>
    <row r="195" spans="1:79">
      <c r="A195" s="699" t="s">
        <v>83</v>
      </c>
      <c r="B195" s="16" t="s">
        <v>3</v>
      </c>
      <c r="C195" s="148" t="s">
        <v>16</v>
      </c>
      <c r="D195" s="55"/>
      <c r="E195" s="56"/>
      <c r="F195" s="56"/>
      <c r="G195" s="149"/>
      <c r="H195" s="150"/>
      <c r="I195" s="151"/>
      <c r="J195" s="26"/>
      <c r="K195" s="26"/>
      <c r="L195" s="133"/>
      <c r="M195" s="56"/>
      <c r="N195" s="16"/>
      <c r="O195" s="18"/>
      <c r="P195" s="18"/>
      <c r="Q195" s="244"/>
      <c r="R195" s="28"/>
      <c r="S195" s="640"/>
      <c r="T195" s="55"/>
      <c r="U195" s="56"/>
      <c r="V195" s="56"/>
      <c r="W195" s="213"/>
      <c r="X195" s="197"/>
      <c r="Y195" s="197"/>
      <c r="Z195" s="197"/>
      <c r="AA195" s="290"/>
      <c r="AB195" s="26"/>
      <c r="AC195" s="26"/>
      <c r="AD195" s="26"/>
      <c r="AE195" s="26"/>
      <c r="AF195" s="566"/>
      <c r="AG195" s="20"/>
      <c r="AH195" s="21"/>
      <c r="AI195" s="21"/>
      <c r="AJ195" s="22"/>
      <c r="AK195" s="27"/>
      <c r="AL195" s="18"/>
      <c r="AM195" s="55"/>
      <c r="AN195" s="56"/>
      <c r="AO195" s="56"/>
      <c r="AP195" s="149"/>
      <c r="AQ195" s="153"/>
      <c r="AR195" s="26"/>
      <c r="AS195" s="26"/>
      <c r="AT195" s="21"/>
      <c r="AU195" s="25"/>
      <c r="AV195" s="21"/>
      <c r="AW195" s="22"/>
      <c r="AX195" s="56"/>
      <c r="AY195" s="16"/>
      <c r="AZ195" s="18"/>
      <c r="BA195" s="18"/>
      <c r="BB195" s="244"/>
      <c r="BC195" s="28"/>
      <c r="BD195" s="8"/>
      <c r="BH195" s="700" t="s">
        <v>86</v>
      </c>
      <c r="BI195" s="701"/>
      <c r="BJ195" s="701"/>
      <c r="BK195" s="701"/>
      <c r="BL195" s="702"/>
      <c r="BM195" s="700" t="s">
        <v>87</v>
      </c>
      <c r="BN195" s="702"/>
      <c r="BP195" s="8"/>
      <c r="BQ195" s="8"/>
      <c r="BR195" s="8"/>
      <c r="BS195" s="8"/>
      <c r="BT195" s="8"/>
    </row>
    <row r="196" spans="1:79">
      <c r="A196" s="699"/>
      <c r="B196" s="23"/>
      <c r="C196" s="17" t="s">
        <v>17</v>
      </c>
      <c r="D196" s="57"/>
      <c r="E196" s="2"/>
      <c r="F196" s="2"/>
      <c r="G196" s="63"/>
      <c r="H196" s="5"/>
      <c r="I196" s="20"/>
      <c r="J196" s="21"/>
      <c r="K196" s="21"/>
      <c r="L196" s="22"/>
      <c r="M196" s="2"/>
      <c r="N196" s="23"/>
      <c r="O196" s="19"/>
      <c r="P196" s="19"/>
      <c r="Q196" s="19"/>
      <c r="R196" s="24"/>
      <c r="T196" s="57"/>
      <c r="U196" s="2"/>
      <c r="V196" s="2"/>
      <c r="W196" s="199"/>
      <c r="X196" s="198"/>
      <c r="Y196" s="198"/>
      <c r="Z196" s="198"/>
      <c r="AA196" s="272"/>
      <c r="AB196" s="21"/>
      <c r="AC196" s="21"/>
      <c r="AD196" s="21"/>
      <c r="AE196" s="21"/>
      <c r="AF196" s="355"/>
      <c r="AG196" s="20"/>
      <c r="AH196" s="21"/>
      <c r="AI196" s="21"/>
      <c r="AJ196" s="22"/>
      <c r="AK196" s="29"/>
      <c r="AL196" s="19"/>
      <c r="AM196" s="57"/>
      <c r="AN196" s="2"/>
      <c r="AO196" s="2"/>
      <c r="AP196" s="63"/>
      <c r="AQ196" s="67"/>
      <c r="AR196" s="21"/>
      <c r="AS196" s="21"/>
      <c r="AT196" s="21"/>
      <c r="AU196" s="25"/>
      <c r="AV196" s="21"/>
      <c r="AW196" s="22"/>
      <c r="AX196" s="2"/>
      <c r="AY196" s="23"/>
      <c r="AZ196" s="19"/>
      <c r="BA196" s="19"/>
      <c r="BB196" s="19"/>
      <c r="BC196" s="24"/>
      <c r="BD196" s="8"/>
      <c r="BH196" s="703" t="s">
        <v>79</v>
      </c>
      <c r="BI196" s="704"/>
      <c r="BJ196" s="704"/>
      <c r="BK196" s="705"/>
      <c r="BL196" s="75" t="s">
        <v>74</v>
      </c>
      <c r="BM196" s="72" t="s">
        <v>79</v>
      </c>
      <c r="BN196" s="73" t="s">
        <v>74</v>
      </c>
      <c r="BP196" s="7"/>
      <c r="BQ196" s="7"/>
      <c r="BR196" s="7"/>
      <c r="BS196" s="7"/>
      <c r="BT196" s="7"/>
      <c r="BU196" s="8"/>
    </row>
    <row r="197" spans="1:79">
      <c r="A197" s="699"/>
      <c r="B197" s="23"/>
      <c r="C197" s="17" t="s">
        <v>18</v>
      </c>
      <c r="D197" s="57"/>
      <c r="E197" s="2"/>
      <c r="F197" s="2"/>
      <c r="G197" s="63"/>
      <c r="H197" s="5"/>
      <c r="I197" s="20"/>
      <c r="J197" s="21"/>
      <c r="K197" s="21"/>
      <c r="L197" s="22"/>
      <c r="M197" s="2"/>
      <c r="N197" s="23"/>
      <c r="O197" s="19"/>
      <c r="P197" s="19"/>
      <c r="Q197" s="19"/>
      <c r="R197" s="24"/>
      <c r="T197" s="57"/>
      <c r="U197" s="2"/>
      <c r="V197" s="2"/>
      <c r="W197" s="199"/>
      <c r="X197" s="198"/>
      <c r="Y197" s="198"/>
      <c r="Z197" s="198"/>
      <c r="AA197" s="272"/>
      <c r="AB197" s="21"/>
      <c r="AC197" s="21"/>
      <c r="AD197" s="21"/>
      <c r="AE197" s="21"/>
      <c r="AF197" s="355"/>
      <c r="AG197" s="20"/>
      <c r="AH197" s="21"/>
      <c r="AI197" s="21"/>
      <c r="AJ197" s="22"/>
      <c r="AK197" s="29"/>
      <c r="AL197" s="19"/>
      <c r="AM197" s="57"/>
      <c r="AN197" s="2"/>
      <c r="AO197" s="2"/>
      <c r="AP197" s="63"/>
      <c r="AQ197" s="67"/>
      <c r="AR197" s="21"/>
      <c r="AS197" s="21"/>
      <c r="AT197" s="21"/>
      <c r="AU197" s="25"/>
      <c r="AV197" s="21"/>
      <c r="AW197" s="22"/>
      <c r="AX197" s="2"/>
      <c r="AY197" s="23"/>
      <c r="AZ197" s="19"/>
      <c r="BA197" s="19"/>
      <c r="BB197" s="19"/>
      <c r="BC197" s="24"/>
      <c r="BD197" s="30"/>
      <c r="BG197" s="141"/>
      <c r="BH197" s="78" t="s">
        <v>44</v>
      </c>
      <c r="BI197" s="79" t="s">
        <v>45</v>
      </c>
      <c r="BJ197" s="79" t="s">
        <v>46</v>
      </c>
      <c r="BK197" s="80" t="s">
        <v>80</v>
      </c>
      <c r="BL197" s="80" t="s">
        <v>80</v>
      </c>
      <c r="BM197" s="78" t="s">
        <v>80</v>
      </c>
      <c r="BN197" s="80" t="s">
        <v>80</v>
      </c>
      <c r="BP197" s="30"/>
      <c r="BQ197" s="30"/>
      <c r="BR197" s="30"/>
      <c r="BS197" s="31"/>
      <c r="BT197" s="31"/>
      <c r="BU197" s="7"/>
    </row>
    <row r="198" spans="1:79">
      <c r="A198" s="699"/>
      <c r="B198" s="23"/>
      <c r="C198" s="17" t="s">
        <v>182</v>
      </c>
      <c r="D198" s="57"/>
      <c r="E198" s="2"/>
      <c r="F198" s="2"/>
      <c r="G198" s="63"/>
      <c r="H198" s="2"/>
      <c r="I198" s="20"/>
      <c r="J198" s="21"/>
      <c r="K198" s="21"/>
      <c r="L198" s="22"/>
      <c r="M198" s="2"/>
      <c r="N198" s="23"/>
      <c r="O198" s="19"/>
      <c r="P198" s="19"/>
      <c r="Q198" s="19"/>
      <c r="R198" s="24"/>
      <c r="T198" s="57"/>
      <c r="U198" s="2"/>
      <c r="V198" s="2"/>
      <c r="W198" s="199"/>
      <c r="X198" s="198"/>
      <c r="Y198" s="198"/>
      <c r="Z198" s="198"/>
      <c r="AA198" s="274"/>
      <c r="AB198" s="21"/>
      <c r="AC198" s="21"/>
      <c r="AD198" s="21"/>
      <c r="AE198" s="21"/>
      <c r="AF198" s="355"/>
      <c r="AG198" s="20"/>
      <c r="AH198" s="21"/>
      <c r="AI198" s="21"/>
      <c r="AJ198" s="22"/>
      <c r="AK198" s="29"/>
      <c r="AL198" s="19"/>
      <c r="AM198" s="57"/>
      <c r="AN198" s="2"/>
      <c r="AO198" s="2"/>
      <c r="AP198" s="63"/>
      <c r="AQ198" s="68"/>
      <c r="AR198" s="21"/>
      <c r="AS198" s="21"/>
      <c r="AT198" s="21"/>
      <c r="AU198" s="25"/>
      <c r="AV198" s="21"/>
      <c r="AW198" s="22"/>
      <c r="AX198" s="2"/>
      <c r="AY198" s="23"/>
      <c r="AZ198" s="19"/>
      <c r="BA198" s="19"/>
      <c r="BB198" s="19"/>
      <c r="BC198" s="24"/>
      <c r="BD198" s="30"/>
      <c r="BG198" s="145" t="s">
        <v>72</v>
      </c>
      <c r="BH198" s="52">
        <f>N238/1000</f>
        <v>0</v>
      </c>
      <c r="BI198" s="52">
        <f>O238/1000</f>
        <v>0</v>
      </c>
      <c r="BJ198" s="52">
        <f>P238/1000</f>
        <v>0</v>
      </c>
      <c r="BK198" s="53">
        <f>Q238/1000</f>
        <v>0</v>
      </c>
      <c r="BL198" s="54">
        <f>R238/1000</f>
        <v>0</v>
      </c>
      <c r="BM198" s="51">
        <f>Q239/1000</f>
        <v>0</v>
      </c>
      <c r="BN198" s="54">
        <f>R239/1000</f>
        <v>0</v>
      </c>
      <c r="BP198" s="30"/>
      <c r="BQ198" s="30"/>
      <c r="BR198" s="30"/>
      <c r="BS198" s="31"/>
      <c r="BT198" s="31"/>
      <c r="BU198" s="32"/>
    </row>
    <row r="199" spans="1:79">
      <c r="A199" s="699"/>
      <c r="B199" s="23"/>
      <c r="C199" s="17" t="s">
        <v>183</v>
      </c>
      <c r="D199" s="57"/>
      <c r="E199" s="2"/>
      <c r="F199" s="2"/>
      <c r="G199" s="63"/>
      <c r="H199" s="2"/>
      <c r="I199" s="20"/>
      <c r="J199" s="21"/>
      <c r="K199" s="21"/>
      <c r="L199" s="22"/>
      <c r="M199" s="2"/>
      <c r="N199" s="23"/>
      <c r="O199" s="19"/>
      <c r="P199" s="19"/>
      <c r="Q199" s="19"/>
      <c r="R199" s="33"/>
      <c r="T199" s="57"/>
      <c r="U199" s="2"/>
      <c r="V199" s="2"/>
      <c r="W199" s="199"/>
      <c r="X199" s="198"/>
      <c r="Y199" s="198"/>
      <c r="Z199" s="198"/>
      <c r="AA199" s="274"/>
      <c r="AB199" s="21"/>
      <c r="AC199" s="21"/>
      <c r="AD199" s="21"/>
      <c r="AE199" s="21"/>
      <c r="AF199" s="355"/>
      <c r="AG199" s="20"/>
      <c r="AH199" s="21"/>
      <c r="AI199" s="21"/>
      <c r="AJ199" s="22"/>
      <c r="AK199" s="29"/>
      <c r="AL199" s="19"/>
      <c r="AM199" s="57"/>
      <c r="AN199" s="2"/>
      <c r="AO199" s="2"/>
      <c r="AP199" s="63"/>
      <c r="AQ199" s="68"/>
      <c r="AR199" s="21"/>
      <c r="AS199" s="21"/>
      <c r="AT199" s="21"/>
      <c r="AU199" s="25"/>
      <c r="AV199" s="21"/>
      <c r="AW199" s="22"/>
      <c r="AX199" s="2"/>
      <c r="AY199" s="23"/>
      <c r="AZ199" s="19"/>
      <c r="BA199" s="19"/>
      <c r="BB199" s="19"/>
      <c r="BC199" s="24"/>
      <c r="BD199" s="30"/>
      <c r="BG199" s="77" t="s">
        <v>68</v>
      </c>
      <c r="BH199" s="52">
        <f>AG238/1000</f>
        <v>0</v>
      </c>
      <c r="BI199" s="52">
        <f>AH238/1000</f>
        <v>0</v>
      </c>
      <c r="BJ199" s="52">
        <f>AI238/1000</f>
        <v>0</v>
      </c>
      <c r="BK199" s="53">
        <f>AJ238/1000</f>
        <v>0</v>
      </c>
      <c r="BL199" s="54">
        <f>AK238/1000</f>
        <v>0</v>
      </c>
      <c r="BM199" s="51">
        <f>AJ239/1000</f>
        <v>0</v>
      </c>
      <c r="BN199" s="54">
        <f>AK239/1000</f>
        <v>0</v>
      </c>
      <c r="BU199" s="32"/>
    </row>
    <row r="200" spans="1:79" s="106" customFormat="1">
      <c r="A200" s="699"/>
      <c r="B200" s="107" t="s">
        <v>67</v>
      </c>
      <c r="C200" s="108"/>
      <c r="D200" s="109"/>
      <c r="E200" s="110"/>
      <c r="F200" s="110"/>
      <c r="G200" s="111"/>
      <c r="H200" s="110"/>
      <c r="I200" s="112"/>
      <c r="J200" s="113"/>
      <c r="K200" s="113"/>
      <c r="L200" s="114"/>
      <c r="M200" s="110"/>
      <c r="N200" s="112"/>
      <c r="O200" s="113"/>
      <c r="P200" s="113"/>
      <c r="Q200" s="114"/>
      <c r="R200" s="118"/>
      <c r="T200" s="109"/>
      <c r="U200" s="110"/>
      <c r="V200" s="110"/>
      <c r="W200" s="203"/>
      <c r="X200" s="130"/>
      <c r="Y200" s="130"/>
      <c r="Z200" s="130"/>
      <c r="AA200" s="276"/>
      <c r="AB200" s="113"/>
      <c r="AC200" s="113"/>
      <c r="AD200" s="113"/>
      <c r="AE200" s="113"/>
      <c r="AF200" s="567"/>
      <c r="AG200" s="112"/>
      <c r="AH200" s="113"/>
      <c r="AI200" s="113"/>
      <c r="AJ200" s="114"/>
      <c r="AK200" s="115"/>
      <c r="AL200" s="119"/>
      <c r="AM200" s="109"/>
      <c r="AN200" s="110"/>
      <c r="AO200" s="110"/>
      <c r="AP200" s="111"/>
      <c r="AQ200" s="116"/>
      <c r="AR200" s="113"/>
      <c r="AS200" s="113"/>
      <c r="AT200" s="113"/>
      <c r="AU200" s="120"/>
      <c r="AV200" s="113"/>
      <c r="AW200" s="114"/>
      <c r="AX200" s="110"/>
      <c r="AY200" s="112"/>
      <c r="AZ200" s="113"/>
      <c r="BA200" s="113"/>
      <c r="BB200" s="113"/>
      <c r="BC200" s="121"/>
      <c r="BD200" s="122"/>
      <c r="BG200" s="77" t="s">
        <v>69</v>
      </c>
      <c r="BH200" s="52">
        <f>AY238/1000</f>
        <v>0</v>
      </c>
      <c r="BI200" s="52">
        <f>AZ238/1000</f>
        <v>0</v>
      </c>
      <c r="BJ200" s="52">
        <f>BA238/1000</f>
        <v>0</v>
      </c>
      <c r="BK200" s="53">
        <f>BB238/1000</f>
        <v>0</v>
      </c>
      <c r="BL200" s="54">
        <f>BC238/1000</f>
        <v>0</v>
      </c>
      <c r="BM200" s="51">
        <f>BB239/1000</f>
        <v>0</v>
      </c>
      <c r="BN200" s="54">
        <f>BC239/1000</f>
        <v>0</v>
      </c>
      <c r="BO200" s="6"/>
      <c r="BU200" s="6"/>
      <c r="BV200" s="6"/>
      <c r="BW200" s="6"/>
      <c r="BX200" s="6"/>
      <c r="BY200" s="6"/>
      <c r="BZ200" s="6"/>
      <c r="CA200" s="6"/>
    </row>
    <row r="201" spans="1:79">
      <c r="A201" s="699"/>
      <c r="B201" s="23" t="s">
        <v>4</v>
      </c>
      <c r="C201" s="17" t="s">
        <v>19</v>
      </c>
      <c r="D201" s="57"/>
      <c r="E201" s="2"/>
      <c r="F201" s="2"/>
      <c r="G201" s="63"/>
      <c r="H201" s="2"/>
      <c r="I201" s="20"/>
      <c r="J201" s="21"/>
      <c r="K201" s="21"/>
      <c r="L201" s="22"/>
      <c r="M201" s="2"/>
      <c r="N201" s="23"/>
      <c r="O201" s="19"/>
      <c r="P201" s="19"/>
      <c r="Q201" s="19"/>
      <c r="R201" s="305"/>
      <c r="T201" s="57"/>
      <c r="U201" s="2"/>
      <c r="V201" s="2"/>
      <c r="W201" s="199"/>
      <c r="X201" s="198"/>
      <c r="Y201" s="198"/>
      <c r="Z201" s="198"/>
      <c r="AA201" s="274"/>
      <c r="AB201" s="21"/>
      <c r="AC201" s="21"/>
      <c r="AD201" s="21"/>
      <c r="AE201" s="21"/>
      <c r="AF201" s="355"/>
      <c r="AG201" s="20"/>
      <c r="AH201" s="21"/>
      <c r="AI201" s="21"/>
      <c r="AJ201" s="22"/>
      <c r="AK201" s="29"/>
      <c r="AL201" s="19"/>
      <c r="AM201" s="57"/>
      <c r="AN201" s="2"/>
      <c r="AO201" s="2"/>
      <c r="AP201" s="63"/>
      <c r="AQ201" s="68"/>
      <c r="AR201" s="21"/>
      <c r="AS201" s="21"/>
      <c r="AT201" s="21"/>
      <c r="AU201" s="25"/>
      <c r="AV201" s="21"/>
      <c r="AW201" s="22"/>
      <c r="AX201" s="2"/>
      <c r="AY201" s="23"/>
      <c r="AZ201" s="19"/>
      <c r="BA201" s="19"/>
      <c r="BB201" s="19"/>
      <c r="BC201" s="24"/>
      <c r="BD201" s="30"/>
      <c r="BG201" s="145" t="s">
        <v>73</v>
      </c>
      <c r="BH201" s="86" t="e">
        <f t="shared" ref="BH201:BN201" si="81">SUM(BH199:BH200)/BH202</f>
        <v>#DIV/0!</v>
      </c>
      <c r="BI201" s="86" t="e">
        <f t="shared" si="81"/>
        <v>#DIV/0!</v>
      </c>
      <c r="BJ201" s="86" t="e">
        <f t="shared" si="81"/>
        <v>#DIV/0!</v>
      </c>
      <c r="BK201" s="87" t="e">
        <f t="shared" si="81"/>
        <v>#DIV/0!</v>
      </c>
      <c r="BL201" s="87" t="e">
        <f t="shared" si="81"/>
        <v>#DIV/0!</v>
      </c>
      <c r="BM201" s="88" t="e">
        <f t="shared" si="81"/>
        <v>#DIV/0!</v>
      </c>
      <c r="BN201" s="87" t="e">
        <f t="shared" si="81"/>
        <v>#DIV/0!</v>
      </c>
      <c r="BU201" s="106"/>
      <c r="BV201" s="106"/>
      <c r="BW201" s="106"/>
      <c r="BX201" s="106"/>
      <c r="BY201" s="106"/>
      <c r="BZ201" s="106"/>
      <c r="CA201" s="106"/>
    </row>
    <row r="202" spans="1:79">
      <c r="A202" s="699"/>
      <c r="B202" s="23"/>
      <c r="C202" s="17" t="s">
        <v>20</v>
      </c>
      <c r="D202" s="57"/>
      <c r="E202" s="2"/>
      <c r="F202" s="2"/>
      <c r="G202" s="63"/>
      <c r="H202" s="2"/>
      <c r="I202" s="20"/>
      <c r="J202" s="21"/>
      <c r="K202" s="21"/>
      <c r="L202" s="22"/>
      <c r="M202" s="2"/>
      <c r="N202" s="23"/>
      <c r="O202" s="19"/>
      <c r="P202" s="19"/>
      <c r="Q202" s="19"/>
      <c r="R202" s="305"/>
      <c r="T202" s="57"/>
      <c r="U202" s="2"/>
      <c r="V202" s="2"/>
      <c r="W202" s="199"/>
      <c r="X202" s="198"/>
      <c r="Y202" s="198"/>
      <c r="Z202" s="198"/>
      <c r="AA202" s="274"/>
      <c r="AB202" s="21"/>
      <c r="AC202" s="21"/>
      <c r="AD202" s="21"/>
      <c r="AE202" s="21"/>
      <c r="AF202" s="355"/>
      <c r="AG202" s="20"/>
      <c r="AH202" s="21"/>
      <c r="AI202" s="21"/>
      <c r="AJ202" s="22"/>
      <c r="AK202" s="29"/>
      <c r="AL202" s="19"/>
      <c r="AM202" s="57"/>
      <c r="AN202" s="2"/>
      <c r="AO202" s="2"/>
      <c r="AP202" s="63"/>
      <c r="AQ202" s="68"/>
      <c r="AR202" s="21"/>
      <c r="AS202" s="21"/>
      <c r="AT202" s="21"/>
      <c r="AU202" s="225"/>
      <c r="AV202" s="21"/>
      <c r="AW202" s="22"/>
      <c r="AX202" s="2"/>
      <c r="AY202" s="23"/>
      <c r="AZ202" s="19"/>
      <c r="BA202" s="19"/>
      <c r="BB202" s="19"/>
      <c r="BC202" s="24"/>
      <c r="BD202" s="30"/>
      <c r="BG202" s="77" t="s">
        <v>78</v>
      </c>
      <c r="BH202" s="52">
        <f t="shared" ref="BH202:BN202" si="82">SUM(BH198:BH200)</f>
        <v>0</v>
      </c>
      <c r="BI202" s="52">
        <f t="shared" si="82"/>
        <v>0</v>
      </c>
      <c r="BJ202" s="52">
        <f t="shared" si="82"/>
        <v>0</v>
      </c>
      <c r="BK202" s="74">
        <f t="shared" si="82"/>
        <v>0</v>
      </c>
      <c r="BL202" s="76">
        <f t="shared" si="82"/>
        <v>0</v>
      </c>
      <c r="BM202" s="81">
        <f t="shared" si="82"/>
        <v>0</v>
      </c>
      <c r="BN202" s="76">
        <f t="shared" si="82"/>
        <v>0</v>
      </c>
    </row>
    <row r="203" spans="1:79">
      <c r="A203" s="699"/>
      <c r="B203" s="23"/>
      <c r="C203" s="17" t="s">
        <v>21</v>
      </c>
      <c r="D203" s="57"/>
      <c r="E203" s="2"/>
      <c r="F203" s="2"/>
      <c r="G203" s="63"/>
      <c r="H203" s="2"/>
      <c r="I203" s="20"/>
      <c r="J203" s="21"/>
      <c r="K203" s="21"/>
      <c r="L203" s="22"/>
      <c r="M203" s="2"/>
      <c r="N203" s="23"/>
      <c r="O203" s="19"/>
      <c r="P203" s="19"/>
      <c r="Q203" s="19"/>
      <c r="R203" s="305"/>
      <c r="T203" s="57"/>
      <c r="U203" s="2"/>
      <c r="V203" s="2"/>
      <c r="W203" s="199"/>
      <c r="X203" s="198"/>
      <c r="Y203" s="198"/>
      <c r="Z203" s="198"/>
      <c r="AA203" s="274"/>
      <c r="AB203" s="21"/>
      <c r="AC203" s="21"/>
      <c r="AD203" s="21"/>
      <c r="AE203" s="21"/>
      <c r="AF203" s="355"/>
      <c r="AG203" s="20"/>
      <c r="AH203" s="21"/>
      <c r="AI203" s="21"/>
      <c r="AJ203" s="22"/>
      <c r="AK203" s="29"/>
      <c r="AL203" s="19"/>
      <c r="AM203" s="57"/>
      <c r="AN203" s="2"/>
      <c r="AO203" s="2"/>
      <c r="AP203" s="63"/>
      <c r="AQ203" s="68"/>
      <c r="AR203" s="21"/>
      <c r="AS203" s="21"/>
      <c r="AT203" s="21"/>
      <c r="AU203" s="25"/>
      <c r="AV203" s="21"/>
      <c r="AW203" s="22"/>
      <c r="AX203" s="2"/>
      <c r="AY203" s="23"/>
      <c r="AZ203" s="19"/>
      <c r="BA203" s="19"/>
      <c r="BB203" s="19"/>
      <c r="BC203" s="24"/>
      <c r="BD203" s="30"/>
    </row>
    <row r="204" spans="1:79" s="106" customFormat="1">
      <c r="A204" s="699"/>
      <c r="B204" s="107" t="s">
        <v>67</v>
      </c>
      <c r="C204" s="108"/>
      <c r="D204" s="109"/>
      <c r="E204" s="110"/>
      <c r="F204" s="110"/>
      <c r="G204" s="111"/>
      <c r="H204" s="110"/>
      <c r="I204" s="112"/>
      <c r="J204" s="113"/>
      <c r="K204" s="113"/>
      <c r="L204" s="114"/>
      <c r="M204" s="110"/>
      <c r="N204" s="112"/>
      <c r="O204" s="113"/>
      <c r="P204" s="113"/>
      <c r="Q204" s="114"/>
      <c r="R204" s="118"/>
      <c r="T204" s="109"/>
      <c r="U204" s="110"/>
      <c r="V204" s="110"/>
      <c r="W204" s="203"/>
      <c r="X204" s="130"/>
      <c r="Y204" s="130"/>
      <c r="Z204" s="130"/>
      <c r="AA204" s="276"/>
      <c r="AB204" s="113"/>
      <c r="AC204" s="113"/>
      <c r="AD204" s="113"/>
      <c r="AE204" s="113"/>
      <c r="AF204" s="567"/>
      <c r="AG204" s="112"/>
      <c r="AH204" s="113"/>
      <c r="AI204" s="113"/>
      <c r="AJ204" s="114"/>
      <c r="AK204" s="115"/>
      <c r="AL204" s="119"/>
      <c r="AM204" s="109"/>
      <c r="AN204" s="110"/>
      <c r="AO204" s="110"/>
      <c r="AP204" s="111"/>
      <c r="AQ204" s="116"/>
      <c r="AR204" s="113"/>
      <c r="AS204" s="113"/>
      <c r="AT204" s="113"/>
      <c r="AU204" s="120"/>
      <c r="AV204" s="113"/>
      <c r="AW204" s="114"/>
      <c r="AX204" s="110"/>
      <c r="AY204" s="112"/>
      <c r="AZ204" s="113"/>
      <c r="BA204" s="113"/>
      <c r="BB204" s="113"/>
      <c r="BC204" s="121"/>
      <c r="BD204" s="122"/>
      <c r="BG204" s="140"/>
      <c r="BH204" s="6"/>
      <c r="BI204" s="6"/>
      <c r="BJ204" s="6"/>
      <c r="BK204" s="6"/>
      <c r="BL204" s="6"/>
      <c r="BM204" s="6"/>
      <c r="BN204" s="6"/>
      <c r="BO204" s="6"/>
      <c r="BU204" s="6"/>
      <c r="BV204" s="6"/>
      <c r="BW204" s="6"/>
      <c r="BX204" s="6"/>
      <c r="BY204" s="6"/>
      <c r="BZ204" s="6"/>
      <c r="CA204" s="6"/>
    </row>
    <row r="205" spans="1:79">
      <c r="A205" s="699"/>
      <c r="B205" s="23" t="s">
        <v>2</v>
      </c>
      <c r="C205" s="17" t="s">
        <v>22</v>
      </c>
      <c r="D205" s="57"/>
      <c r="E205" s="2"/>
      <c r="F205" s="2"/>
      <c r="G205" s="63"/>
      <c r="H205" s="2"/>
      <c r="I205" s="20"/>
      <c r="J205" s="21"/>
      <c r="K205" s="21"/>
      <c r="L205" s="22"/>
      <c r="M205" s="2"/>
      <c r="N205" s="20"/>
      <c r="O205" s="21"/>
      <c r="P205" s="21"/>
      <c r="Q205" s="21"/>
      <c r="R205" s="29"/>
      <c r="T205" s="57"/>
      <c r="U205" s="2"/>
      <c r="V205" s="2"/>
      <c r="W205" s="199"/>
      <c r="X205" s="198"/>
      <c r="Y205" s="198"/>
      <c r="Z205" s="198"/>
      <c r="AA205" s="274"/>
      <c r="AB205" s="21"/>
      <c r="AC205" s="21"/>
      <c r="AD205" s="21"/>
      <c r="AE205" s="21"/>
      <c r="AF205" s="355"/>
      <c r="AG205" s="20"/>
      <c r="AH205" s="21"/>
      <c r="AI205" s="21"/>
      <c r="AJ205" s="22"/>
      <c r="AK205" s="29"/>
      <c r="AL205" s="19"/>
      <c r="AM205" s="57"/>
      <c r="AN205" s="2"/>
      <c r="AO205" s="2"/>
      <c r="AP205" s="63"/>
      <c r="AQ205" s="70"/>
      <c r="AR205" s="21"/>
      <c r="AS205" s="35"/>
      <c r="AT205" s="21"/>
      <c r="AU205" s="25"/>
      <c r="AV205" s="21"/>
      <c r="AW205" s="22"/>
      <c r="AX205" s="82"/>
      <c r="AY205" s="20"/>
      <c r="AZ205" s="21"/>
      <c r="BA205" s="21"/>
      <c r="BB205" s="21"/>
      <c r="BC205" s="29"/>
      <c r="BD205" s="30"/>
      <c r="BU205" s="106"/>
      <c r="BV205" s="106"/>
      <c r="BW205" s="106"/>
      <c r="BX205" s="106"/>
      <c r="BY205" s="106"/>
      <c r="BZ205" s="106"/>
      <c r="CA205" s="106"/>
    </row>
    <row r="206" spans="1:79">
      <c r="A206" s="699"/>
      <c r="B206" s="23"/>
      <c r="C206" s="17" t="s">
        <v>23</v>
      </c>
      <c r="D206" s="57"/>
      <c r="E206" s="2"/>
      <c r="F206" s="2"/>
      <c r="G206" s="63"/>
      <c r="H206" s="2"/>
      <c r="I206" s="20"/>
      <c r="J206" s="21"/>
      <c r="K206" s="21"/>
      <c r="L206" s="22"/>
      <c r="M206" s="2"/>
      <c r="N206" s="20"/>
      <c r="O206" s="21"/>
      <c r="P206" s="21"/>
      <c r="Q206" s="21"/>
      <c r="R206" s="29"/>
      <c r="T206" s="57"/>
      <c r="U206" s="2"/>
      <c r="V206" s="2"/>
      <c r="W206" s="199"/>
      <c r="X206" s="198"/>
      <c r="Y206" s="198"/>
      <c r="Z206" s="198"/>
      <c r="AA206" s="274"/>
      <c r="AB206" s="21"/>
      <c r="AC206" s="21"/>
      <c r="AD206" s="21"/>
      <c r="AE206" s="21"/>
      <c r="AF206" s="355"/>
      <c r="AG206" s="20"/>
      <c r="AH206" s="21"/>
      <c r="AI206" s="21"/>
      <c r="AJ206" s="22"/>
      <c r="AK206" s="29"/>
      <c r="AL206" s="19"/>
      <c r="AM206" s="57"/>
      <c r="AN206" s="2"/>
      <c r="AO206" s="2"/>
      <c r="AP206" s="63"/>
      <c r="AQ206" s="68"/>
      <c r="AR206" s="21"/>
      <c r="AS206" s="35"/>
      <c r="AT206" s="21"/>
      <c r="AU206" s="25"/>
      <c r="AV206" s="21"/>
      <c r="AW206" s="22"/>
      <c r="AX206" s="2"/>
      <c r="AY206" s="20"/>
      <c r="AZ206" s="21"/>
      <c r="BA206" s="21"/>
      <c r="BB206" s="21"/>
      <c r="BC206" s="29"/>
      <c r="BD206" s="36"/>
    </row>
    <row r="207" spans="1:79">
      <c r="A207" s="699"/>
      <c r="B207" s="23"/>
      <c r="C207" s="17" t="s">
        <v>24</v>
      </c>
      <c r="D207" s="57"/>
      <c r="E207" s="2"/>
      <c r="F207" s="2"/>
      <c r="G207" s="63"/>
      <c r="H207" s="2"/>
      <c r="I207" s="20"/>
      <c r="J207" s="21"/>
      <c r="K207" s="21"/>
      <c r="L207" s="22"/>
      <c r="M207" s="2"/>
      <c r="N207" s="20"/>
      <c r="O207" s="21"/>
      <c r="P207" s="21"/>
      <c r="Q207" s="21"/>
      <c r="R207" s="29"/>
      <c r="T207" s="57"/>
      <c r="U207" s="2"/>
      <c r="V207" s="2"/>
      <c r="W207" s="199"/>
      <c r="X207" s="198"/>
      <c r="Y207" s="198"/>
      <c r="Z207" s="198"/>
      <c r="AA207" s="274"/>
      <c r="AB207" s="21"/>
      <c r="AC207" s="21"/>
      <c r="AD207" s="21"/>
      <c r="AE207" s="21"/>
      <c r="AF207" s="355"/>
      <c r="AG207" s="20"/>
      <c r="AH207" s="21"/>
      <c r="AI207" s="21"/>
      <c r="AJ207" s="22"/>
      <c r="AK207" s="29"/>
      <c r="AL207" s="19"/>
      <c r="AM207" s="57"/>
      <c r="AN207" s="2"/>
      <c r="AO207" s="2"/>
      <c r="AP207" s="63"/>
      <c r="AQ207" s="70"/>
      <c r="AR207" s="21"/>
      <c r="AS207" s="35"/>
      <c r="AT207" s="21"/>
      <c r="AU207" s="25"/>
      <c r="AV207" s="21"/>
      <c r="AW207" s="22"/>
      <c r="AX207" s="2"/>
      <c r="AY207" s="20"/>
      <c r="AZ207" s="21"/>
      <c r="BA207" s="21"/>
      <c r="BB207" s="21"/>
      <c r="BC207" s="29"/>
    </row>
    <row r="208" spans="1:79">
      <c r="A208" s="699"/>
      <c r="B208" s="23"/>
      <c r="C208" s="17" t="s">
        <v>25</v>
      </c>
      <c r="D208" s="57"/>
      <c r="E208" s="2"/>
      <c r="F208" s="2"/>
      <c r="G208" s="63"/>
      <c r="H208" s="2"/>
      <c r="I208" s="20"/>
      <c r="J208" s="21"/>
      <c r="K208" s="21"/>
      <c r="L208" s="22"/>
      <c r="M208" s="2"/>
      <c r="N208" s="20"/>
      <c r="O208" s="21"/>
      <c r="P208" s="21"/>
      <c r="Q208" s="21"/>
      <c r="R208" s="29"/>
      <c r="T208" s="57"/>
      <c r="U208" s="2"/>
      <c r="V208" s="2"/>
      <c r="W208" s="199"/>
      <c r="X208" s="198"/>
      <c r="Y208" s="198"/>
      <c r="Z208" s="198"/>
      <c r="AA208" s="274"/>
      <c r="AB208" s="21"/>
      <c r="AC208" s="21"/>
      <c r="AD208" s="21"/>
      <c r="AE208" s="21"/>
      <c r="AF208" s="355"/>
      <c r="AG208" s="20"/>
      <c r="AH208" s="21"/>
      <c r="AI208" s="21"/>
      <c r="AJ208" s="22"/>
      <c r="AK208" s="29"/>
      <c r="AL208" s="19"/>
      <c r="AM208" s="57"/>
      <c r="AN208" s="2"/>
      <c r="AO208" s="2"/>
      <c r="AP208" s="63"/>
      <c r="AQ208" s="68"/>
      <c r="AR208" s="21"/>
      <c r="AS208" s="35"/>
      <c r="AT208" s="21"/>
      <c r="AU208" s="25"/>
      <c r="AV208" s="21"/>
      <c r="AW208" s="22"/>
      <c r="AX208" s="83"/>
      <c r="AY208" s="20"/>
      <c r="AZ208" s="21"/>
      <c r="BA208" s="21"/>
      <c r="BB208" s="21"/>
      <c r="BC208" s="29"/>
    </row>
    <row r="209" spans="1:79">
      <c r="A209" s="699"/>
      <c r="B209" s="23"/>
      <c r="C209" s="17" t="s">
        <v>0</v>
      </c>
      <c r="D209" s="57"/>
      <c r="E209" s="2"/>
      <c r="F209" s="2"/>
      <c r="G209" s="63"/>
      <c r="H209" s="198"/>
      <c r="I209" s="306"/>
      <c r="J209" s="113"/>
      <c r="K209" s="21"/>
      <c r="L209" s="22"/>
      <c r="M209" s="2"/>
      <c r="N209" s="20"/>
      <c r="O209" s="19"/>
      <c r="P209" s="19"/>
      <c r="Q209" s="19"/>
      <c r="R209" s="29"/>
      <c r="T209" s="57"/>
      <c r="U209" s="2"/>
      <c r="V209" s="2"/>
      <c r="W209" s="199"/>
      <c r="X209" s="198"/>
      <c r="Y209" s="198"/>
      <c r="Z209" s="198"/>
      <c r="AA209" s="278"/>
      <c r="AB209" s="21"/>
      <c r="AC209" s="21"/>
      <c r="AD209" s="21"/>
      <c r="AE209" s="21"/>
      <c r="AF209" s="355"/>
      <c r="AG209" s="20"/>
      <c r="AH209" s="21"/>
      <c r="AI209" s="21"/>
      <c r="AJ209" s="22"/>
      <c r="AK209" s="29"/>
      <c r="AL209" s="19"/>
      <c r="AM209" s="57"/>
      <c r="AN209" s="2"/>
      <c r="AO209" s="2"/>
      <c r="AP209" s="63"/>
      <c r="AQ209" s="68"/>
      <c r="AR209" s="21"/>
      <c r="AS209" s="35"/>
      <c r="AT209" s="21"/>
      <c r="AU209" s="25"/>
      <c r="AV209" s="21"/>
      <c r="AW209" s="22"/>
      <c r="AX209" s="2"/>
      <c r="AY209" s="23"/>
      <c r="AZ209" s="19"/>
      <c r="BA209" s="19"/>
      <c r="BB209" s="21"/>
      <c r="BC209" s="24"/>
    </row>
    <row r="210" spans="1:79" s="106" customFormat="1">
      <c r="A210" s="699"/>
      <c r="B210" s="107" t="s">
        <v>67</v>
      </c>
      <c r="C210" s="108"/>
      <c r="D210" s="109"/>
      <c r="E210" s="110"/>
      <c r="F210" s="110"/>
      <c r="G210" s="111"/>
      <c r="H210" s="110"/>
      <c r="I210" s="112"/>
      <c r="J210" s="113"/>
      <c r="K210" s="113"/>
      <c r="L210" s="114"/>
      <c r="M210" s="110"/>
      <c r="N210" s="112"/>
      <c r="O210" s="113"/>
      <c r="P210" s="113"/>
      <c r="Q210" s="114"/>
      <c r="R210" s="118"/>
      <c r="T210" s="109"/>
      <c r="U210" s="110"/>
      <c r="V210" s="110"/>
      <c r="W210" s="203"/>
      <c r="X210" s="130"/>
      <c r="Y210" s="130"/>
      <c r="Z210" s="130"/>
      <c r="AA210" s="285"/>
      <c r="AB210" s="113"/>
      <c r="AC210" s="113"/>
      <c r="AD210" s="113"/>
      <c r="AE210" s="113"/>
      <c r="AF210" s="554"/>
      <c r="AG210" s="112"/>
      <c r="AH210" s="113"/>
      <c r="AI210" s="113"/>
      <c r="AJ210" s="114"/>
      <c r="AK210" s="115"/>
      <c r="AL210" s="119"/>
      <c r="AM210" s="109"/>
      <c r="AN210" s="110"/>
      <c r="AO210" s="110"/>
      <c r="AP210" s="111"/>
      <c r="AQ210" s="116"/>
      <c r="AR210" s="113"/>
      <c r="AS210" s="113"/>
      <c r="AT210" s="113"/>
      <c r="AU210" s="120"/>
      <c r="AV210" s="113"/>
      <c r="AW210" s="114"/>
      <c r="AX210" s="110"/>
      <c r="AY210" s="241"/>
      <c r="AZ210" s="242"/>
      <c r="BA210" s="242"/>
      <c r="BB210" s="243"/>
      <c r="BC210" s="118"/>
      <c r="BD210" s="122"/>
      <c r="BG210" s="146"/>
      <c r="BH210" s="138" t="s">
        <v>72</v>
      </c>
      <c r="BI210" s="138" t="s">
        <v>68</v>
      </c>
      <c r="BJ210" s="138" t="s">
        <v>69</v>
      </c>
      <c r="BK210" s="138" t="s">
        <v>73</v>
      </c>
      <c r="BL210" s="138" t="s">
        <v>78</v>
      </c>
      <c r="BM210" s="6"/>
      <c r="BN210" s="6"/>
      <c r="BO210" s="6"/>
      <c r="BU210" s="6"/>
      <c r="BV210" s="6"/>
      <c r="BW210" s="6"/>
      <c r="BX210" s="6"/>
      <c r="BY210" s="6"/>
      <c r="BZ210" s="6"/>
      <c r="CA210" s="6"/>
    </row>
    <row r="211" spans="1:79">
      <c r="A211" s="699"/>
      <c r="B211" s="23" t="s">
        <v>5</v>
      </c>
      <c r="C211" s="17" t="s">
        <v>26</v>
      </c>
      <c r="D211" s="57"/>
      <c r="E211" s="2"/>
      <c r="F211" s="2"/>
      <c r="G211" s="63"/>
      <c r="H211" s="2"/>
      <c r="I211" s="20"/>
      <c r="J211" s="21"/>
      <c r="K211" s="21"/>
      <c r="L211" s="22"/>
      <c r="M211" s="2"/>
      <c r="N211" s="23"/>
      <c r="O211" s="19"/>
      <c r="P211" s="19"/>
      <c r="Q211" s="19"/>
      <c r="R211" s="305"/>
      <c r="T211" s="57"/>
      <c r="U211" s="2"/>
      <c r="V211" s="2"/>
      <c r="W211" s="199"/>
      <c r="X211" s="198"/>
      <c r="Y211" s="198"/>
      <c r="Z211" s="198"/>
      <c r="AA211" s="274"/>
      <c r="AB211" s="21"/>
      <c r="AC211" s="21"/>
      <c r="AD211" s="21"/>
      <c r="AE211" s="21"/>
      <c r="AF211" s="355"/>
      <c r="AG211" s="20"/>
      <c r="AH211" s="21"/>
      <c r="AI211" s="21"/>
      <c r="AJ211" s="22"/>
      <c r="AK211" s="29"/>
      <c r="AL211" s="19"/>
      <c r="AM211" s="57"/>
      <c r="AN211" s="2"/>
      <c r="AO211" s="2"/>
      <c r="AP211" s="63"/>
      <c r="AQ211" s="68"/>
      <c r="AR211" s="21"/>
      <c r="AS211" s="21"/>
      <c r="AT211" s="21"/>
      <c r="AU211" s="240"/>
      <c r="AV211" s="19"/>
      <c r="AW211" s="195"/>
      <c r="AX211" s="2"/>
      <c r="AY211" s="238"/>
      <c r="BB211" s="19"/>
      <c r="BC211" s="24"/>
      <c r="BG211" s="147" t="s">
        <v>3</v>
      </c>
      <c r="BH211" s="52">
        <f>Q200/1000</f>
        <v>0</v>
      </c>
      <c r="BI211" s="52">
        <f>AJ200/1000</f>
        <v>0</v>
      </c>
      <c r="BJ211" s="52">
        <f>BB200/1000</f>
        <v>0</v>
      </c>
      <c r="BK211" s="137" t="e">
        <f>SUM(BI211:BJ211)/BL211</f>
        <v>#DIV/0!</v>
      </c>
      <c r="BL211" s="52">
        <f>SUM(BH211:BJ211)</f>
        <v>0</v>
      </c>
      <c r="BU211" s="106"/>
      <c r="BV211" s="106"/>
      <c r="BW211" s="106"/>
      <c r="BX211" s="106"/>
      <c r="BY211" s="106"/>
      <c r="BZ211" s="106"/>
      <c r="CA211" s="106"/>
    </row>
    <row r="212" spans="1:79">
      <c r="A212" s="699"/>
      <c r="B212" s="23"/>
      <c r="C212" s="17" t="s">
        <v>27</v>
      </c>
      <c r="D212" s="57"/>
      <c r="E212" s="2"/>
      <c r="F212" s="2"/>
      <c r="G212" s="63"/>
      <c r="H212" s="2"/>
      <c r="I212" s="20"/>
      <c r="J212" s="725"/>
      <c r="K212" s="21"/>
      <c r="L212" s="22"/>
      <c r="M212" s="2"/>
      <c r="N212" s="23"/>
      <c r="O212" s="19"/>
      <c r="P212" s="19"/>
      <c r="Q212" s="19"/>
      <c r="R212" s="305"/>
      <c r="T212" s="57"/>
      <c r="U212" s="2"/>
      <c r="V212" s="2"/>
      <c r="W212" s="199"/>
      <c r="X212" s="198"/>
      <c r="Y212" s="198"/>
      <c r="Z212" s="198"/>
      <c r="AA212" s="274"/>
      <c r="AB212" s="21"/>
      <c r="AC212" s="21"/>
      <c r="AD212" s="21"/>
      <c r="AE212" s="21"/>
      <c r="AF212" s="355"/>
      <c r="AG212" s="20"/>
      <c r="AH212" s="21"/>
      <c r="AI212" s="21"/>
      <c r="AJ212" s="22"/>
      <c r="AK212" s="29"/>
      <c r="AL212" s="19"/>
      <c r="AM212" s="57"/>
      <c r="AN212" s="2"/>
      <c r="AO212" s="2"/>
      <c r="AP212" s="63"/>
      <c r="AQ212" s="68"/>
      <c r="AR212" s="21"/>
      <c r="AS212" s="21"/>
      <c r="AT212" s="21"/>
      <c r="AU212" s="240"/>
      <c r="AV212" s="19"/>
      <c r="AW212" s="195"/>
      <c r="AX212" s="2"/>
      <c r="AY212" s="238"/>
      <c r="BB212" s="19"/>
      <c r="BC212" s="24"/>
      <c r="BG212" s="147" t="s">
        <v>4</v>
      </c>
      <c r="BH212" s="52">
        <f>Q204/1000</f>
        <v>0</v>
      </c>
      <c r="BI212" s="52">
        <f>AJ204/1000</f>
        <v>0</v>
      </c>
      <c r="BJ212" s="52">
        <f>BB204/1000</f>
        <v>0</v>
      </c>
      <c r="BK212" s="137" t="e">
        <f t="shared" ref="BK212:BK219" si="83">SUM(BI212:BJ212)/BL212</f>
        <v>#DIV/0!</v>
      </c>
      <c r="BL212" s="52">
        <f t="shared" ref="BL212:BL219" si="84">SUM(BH212:BJ212)</f>
        <v>0</v>
      </c>
    </row>
    <row r="213" spans="1:79">
      <c r="A213" s="699"/>
      <c r="B213" s="23"/>
      <c r="C213" s="17" t="s">
        <v>28</v>
      </c>
      <c r="D213" s="57"/>
      <c r="E213" s="2"/>
      <c r="F213" s="2"/>
      <c r="G213" s="63"/>
      <c r="H213" s="2"/>
      <c r="I213" s="20"/>
      <c r="J213" s="725"/>
      <c r="K213" s="21"/>
      <c r="L213" s="22"/>
      <c r="M213" s="2"/>
      <c r="N213" s="23"/>
      <c r="O213" s="19"/>
      <c r="P213" s="19"/>
      <c r="Q213" s="19"/>
      <c r="R213" s="305"/>
      <c r="T213" s="57"/>
      <c r="U213" s="2"/>
      <c r="V213" s="2"/>
      <c r="W213" s="199"/>
      <c r="X213" s="198"/>
      <c r="Y213" s="198"/>
      <c r="Z213" s="198"/>
      <c r="AA213" s="274"/>
      <c r="AB213" s="21"/>
      <c r="AC213" s="21"/>
      <c r="AD213" s="21"/>
      <c r="AE213" s="21"/>
      <c r="AF213" s="355"/>
      <c r="AG213" s="20"/>
      <c r="AH213" s="21"/>
      <c r="AI213" s="21"/>
      <c r="AJ213" s="22"/>
      <c r="AK213" s="29"/>
      <c r="AL213" s="19"/>
      <c r="AM213" s="57"/>
      <c r="AN213" s="2"/>
      <c r="AO213" s="2"/>
      <c r="AP213" s="63"/>
      <c r="AQ213" s="68"/>
      <c r="AR213" s="21"/>
      <c r="AS213" s="21"/>
      <c r="AT213" s="21"/>
      <c r="AU213" s="240"/>
      <c r="AV213" s="19"/>
      <c r="AW213" s="195"/>
      <c r="AX213" s="2"/>
      <c r="AY213" s="238"/>
      <c r="BB213" s="19"/>
      <c r="BC213" s="24"/>
      <c r="BG213" s="147" t="s">
        <v>2</v>
      </c>
      <c r="BH213" s="52">
        <f>Q210/1000</f>
        <v>0</v>
      </c>
      <c r="BI213" s="52">
        <f>AJ210/1000</f>
        <v>0</v>
      </c>
      <c r="BJ213" s="52">
        <f>BB210/1000</f>
        <v>0</v>
      </c>
      <c r="BK213" s="137" t="e">
        <f t="shared" si="83"/>
        <v>#DIV/0!</v>
      </c>
      <c r="BL213" s="52">
        <f t="shared" si="84"/>
        <v>0</v>
      </c>
    </row>
    <row r="214" spans="1:79">
      <c r="A214" s="699"/>
      <c r="B214" s="23"/>
      <c r="C214" s="17" t="s">
        <v>29</v>
      </c>
      <c r="D214" s="57"/>
      <c r="E214" s="2"/>
      <c r="F214" s="2"/>
      <c r="G214" s="63"/>
      <c r="H214" s="2"/>
      <c r="I214" s="20"/>
      <c r="J214" s="21"/>
      <c r="K214" s="21"/>
      <c r="L214" s="22"/>
      <c r="M214" s="2"/>
      <c r="N214" s="23"/>
      <c r="O214" s="19"/>
      <c r="P214" s="19"/>
      <c r="Q214" s="19"/>
      <c r="R214" s="305"/>
      <c r="T214" s="57"/>
      <c r="U214" s="2"/>
      <c r="V214" s="2"/>
      <c r="W214" s="199"/>
      <c r="X214" s="198"/>
      <c r="Y214" s="198"/>
      <c r="Z214" s="198"/>
      <c r="AA214" s="274"/>
      <c r="AB214" s="21"/>
      <c r="AC214" s="21"/>
      <c r="AD214" s="21"/>
      <c r="AE214" s="21"/>
      <c r="AF214" s="355"/>
      <c r="AG214" s="20"/>
      <c r="AH214" s="21"/>
      <c r="AI214" s="21"/>
      <c r="AJ214" s="22"/>
      <c r="AK214" s="29"/>
      <c r="AL214" s="19"/>
      <c r="AM214" s="57"/>
      <c r="AN214" s="2"/>
      <c r="AO214" s="2"/>
      <c r="AP214" s="63"/>
      <c r="AQ214" s="68"/>
      <c r="AR214" s="21"/>
      <c r="AS214" s="21"/>
      <c r="AT214" s="21"/>
      <c r="AU214" s="240"/>
      <c r="AV214" s="19"/>
      <c r="AW214" s="195"/>
      <c r="AX214" s="2"/>
      <c r="AY214" s="238"/>
      <c r="BB214" s="19"/>
      <c r="BC214" s="24"/>
      <c r="BG214" s="147" t="s">
        <v>5</v>
      </c>
      <c r="BH214" s="52">
        <f>Q215/1000</f>
        <v>0</v>
      </c>
      <c r="BI214" s="52">
        <f>AJ215/1000</f>
        <v>0</v>
      </c>
      <c r="BJ214" s="52">
        <f>BB215/1000</f>
        <v>0</v>
      </c>
      <c r="BK214" s="137" t="e">
        <f t="shared" si="83"/>
        <v>#DIV/0!</v>
      </c>
      <c r="BL214" s="52">
        <f t="shared" si="84"/>
        <v>0</v>
      </c>
    </row>
    <row r="215" spans="1:79" s="106" customFormat="1">
      <c r="A215" s="699"/>
      <c r="B215" s="107" t="s">
        <v>67</v>
      </c>
      <c r="C215" s="108"/>
      <c r="D215" s="109"/>
      <c r="E215" s="110"/>
      <c r="F215" s="110"/>
      <c r="G215" s="111"/>
      <c r="H215" s="110"/>
      <c r="I215" s="112"/>
      <c r="J215" s="113"/>
      <c r="K215" s="113"/>
      <c r="L215" s="114"/>
      <c r="M215" s="110"/>
      <c r="N215" s="112"/>
      <c r="O215" s="113"/>
      <c r="P215" s="113"/>
      <c r="Q215" s="114"/>
      <c r="R215" s="118"/>
      <c r="T215" s="109"/>
      <c r="U215" s="110"/>
      <c r="V215" s="110"/>
      <c r="W215" s="203"/>
      <c r="X215" s="130"/>
      <c r="Y215" s="130"/>
      <c r="Z215" s="130"/>
      <c r="AA215" s="276"/>
      <c r="AB215" s="113"/>
      <c r="AC215" s="113"/>
      <c r="AD215" s="113"/>
      <c r="AE215" s="113"/>
      <c r="AF215" s="567"/>
      <c r="AG215" s="112"/>
      <c r="AH215" s="113"/>
      <c r="AI215" s="113"/>
      <c r="AJ215" s="114"/>
      <c r="AK215" s="115"/>
      <c r="AL215" s="119"/>
      <c r="AM215" s="109"/>
      <c r="AN215" s="110"/>
      <c r="AO215" s="110"/>
      <c r="AP215" s="111"/>
      <c r="AQ215" s="117"/>
      <c r="AR215" s="113"/>
      <c r="AS215" s="123"/>
      <c r="AT215" s="113"/>
      <c r="AU215" s="120"/>
      <c r="AV215" s="113"/>
      <c r="AW215" s="114"/>
      <c r="AX215" s="110"/>
      <c r="AY215" s="241"/>
      <c r="AZ215" s="242"/>
      <c r="BA215" s="242"/>
      <c r="BB215" s="114"/>
      <c r="BC215" s="118"/>
      <c r="BD215" s="122"/>
      <c r="BG215" s="147" t="s">
        <v>6</v>
      </c>
      <c r="BH215" s="52">
        <f>Q225/1000</f>
        <v>0</v>
      </c>
      <c r="BI215" s="52">
        <f>AJ225/1000</f>
        <v>0</v>
      </c>
      <c r="BJ215" s="52">
        <f>BB225/1000</f>
        <v>0</v>
      </c>
      <c r="BK215" s="137" t="e">
        <f t="shared" si="83"/>
        <v>#DIV/0!</v>
      </c>
      <c r="BL215" s="52">
        <f t="shared" si="84"/>
        <v>0</v>
      </c>
      <c r="BM215" s="6"/>
      <c r="BN215" s="6"/>
      <c r="BO215" s="6"/>
      <c r="BU215" s="6"/>
      <c r="BV215" s="6"/>
      <c r="BW215" s="6"/>
      <c r="BX215" s="6"/>
      <c r="BY215" s="6"/>
      <c r="BZ215" s="6"/>
      <c r="CA215" s="6"/>
    </row>
    <row r="216" spans="1:79">
      <c r="A216" s="699"/>
      <c r="B216" s="23" t="s">
        <v>6</v>
      </c>
      <c r="C216" s="17" t="s">
        <v>30</v>
      </c>
      <c r="D216" s="57"/>
      <c r="E216" s="2"/>
      <c r="F216" s="2"/>
      <c r="G216" s="63"/>
      <c r="H216" s="2"/>
      <c r="I216" s="20"/>
      <c r="J216" s="21"/>
      <c r="K216" s="21"/>
      <c r="L216" s="22"/>
      <c r="M216" s="2"/>
      <c r="N216" s="23"/>
      <c r="O216" s="19"/>
      <c r="P216" s="19"/>
      <c r="Q216" s="19"/>
      <c r="R216" s="305"/>
      <c r="T216" s="57"/>
      <c r="U216" s="2"/>
      <c r="V216" s="2"/>
      <c r="W216" s="199"/>
      <c r="X216" s="198"/>
      <c r="Y216" s="198"/>
      <c r="Z216" s="198"/>
      <c r="AA216" s="274"/>
      <c r="AB216" s="21"/>
      <c r="AC216" s="21"/>
      <c r="AD216" s="21"/>
      <c r="AE216" s="21"/>
      <c r="AF216" s="355"/>
      <c r="AG216" s="20"/>
      <c r="AH216" s="21"/>
      <c r="AI216" s="21"/>
      <c r="AJ216" s="22"/>
      <c r="AK216" s="29"/>
      <c r="AL216" s="19"/>
      <c r="AM216" s="57"/>
      <c r="AN216" s="2"/>
      <c r="AO216" s="2"/>
      <c r="AP216" s="63"/>
      <c r="AQ216" s="68"/>
      <c r="AR216" s="21"/>
      <c r="AS216" s="21"/>
      <c r="AT216" s="21"/>
      <c r="AU216" s="240"/>
      <c r="AV216" s="19"/>
      <c r="AW216" s="195"/>
      <c r="AX216" s="2"/>
      <c r="AY216" s="238"/>
      <c r="BB216" s="19"/>
      <c r="BC216" s="24"/>
      <c r="BG216" s="147" t="s">
        <v>8</v>
      </c>
      <c r="BH216" s="52">
        <f>Q226/1000</f>
        <v>0</v>
      </c>
      <c r="BI216" s="52">
        <f>AJ226/1000</f>
        <v>0</v>
      </c>
      <c r="BJ216" s="52">
        <f>BB226/1000</f>
        <v>0</v>
      </c>
      <c r="BK216" s="137" t="e">
        <f t="shared" si="83"/>
        <v>#DIV/0!</v>
      </c>
      <c r="BL216" s="52">
        <f t="shared" si="84"/>
        <v>0</v>
      </c>
      <c r="BU216" s="106"/>
      <c r="BV216" s="106"/>
      <c r="BW216" s="106"/>
      <c r="BX216" s="106"/>
      <c r="BY216" s="106"/>
      <c r="BZ216" s="106"/>
      <c r="CA216" s="106"/>
    </row>
    <row r="217" spans="1:79">
      <c r="A217" s="699"/>
      <c r="B217" s="23"/>
      <c r="C217" s="17" t="s">
        <v>31</v>
      </c>
      <c r="D217" s="57"/>
      <c r="E217" s="2"/>
      <c r="F217" s="2"/>
      <c r="G217" s="63"/>
      <c r="H217" s="2"/>
      <c r="I217" s="20"/>
      <c r="J217" s="21"/>
      <c r="K217" s="21"/>
      <c r="L217" s="22"/>
      <c r="M217" s="2"/>
      <c r="N217" s="23"/>
      <c r="O217" s="19"/>
      <c r="P217" s="19"/>
      <c r="Q217" s="19"/>
      <c r="R217" s="305"/>
      <c r="T217" s="57"/>
      <c r="U217" s="2"/>
      <c r="V217" s="2"/>
      <c r="W217" s="199"/>
      <c r="X217" s="198"/>
      <c r="Y217" s="198"/>
      <c r="Z217" s="198"/>
      <c r="AA217" s="274"/>
      <c r="AB217" s="21"/>
      <c r="AC217" s="21"/>
      <c r="AD217" s="21"/>
      <c r="AE217" s="21"/>
      <c r="AF217" s="355"/>
      <c r="AG217" s="20"/>
      <c r="AH217" s="21"/>
      <c r="AI217" s="21"/>
      <c r="AJ217" s="22"/>
      <c r="AK217" s="29"/>
      <c r="AL217" s="19"/>
      <c r="AM217" s="57"/>
      <c r="AN217" s="2"/>
      <c r="AO217" s="2"/>
      <c r="AP217" s="63"/>
      <c r="AQ217" s="68"/>
      <c r="AR217" s="21"/>
      <c r="AS217" s="21"/>
      <c r="AT217" s="21"/>
      <c r="AU217" s="240"/>
      <c r="AV217" s="19"/>
      <c r="AW217" s="195"/>
      <c r="AX217" s="2"/>
      <c r="AY217" s="238"/>
      <c r="BB217" s="19"/>
      <c r="BC217" s="24"/>
      <c r="BG217" s="147" t="s">
        <v>7</v>
      </c>
      <c r="BH217" s="52">
        <f>Q229/1000</f>
        <v>0</v>
      </c>
      <c r="BI217" s="52">
        <f>AJ229/1000</f>
        <v>0</v>
      </c>
      <c r="BJ217" s="52">
        <f>BB229/1000</f>
        <v>0</v>
      </c>
      <c r="BK217" s="137" t="e">
        <f t="shared" si="83"/>
        <v>#DIV/0!</v>
      </c>
      <c r="BL217" s="52">
        <f t="shared" si="84"/>
        <v>0</v>
      </c>
    </row>
    <row r="218" spans="1:79">
      <c r="A218" s="699"/>
      <c r="B218" s="23"/>
      <c r="C218" s="17" t="s">
        <v>32</v>
      </c>
      <c r="D218" s="57"/>
      <c r="E218" s="2"/>
      <c r="F218" s="2"/>
      <c r="G218" s="63"/>
      <c r="H218" s="2"/>
      <c r="I218" s="20"/>
      <c r="J218" s="21"/>
      <c r="K218" s="21"/>
      <c r="L218" s="22"/>
      <c r="M218" s="2"/>
      <c r="N218" s="23"/>
      <c r="O218" s="19"/>
      <c r="P218" s="19"/>
      <c r="Q218" s="19"/>
      <c r="R218" s="305"/>
      <c r="T218" s="57"/>
      <c r="U218" s="2"/>
      <c r="V218" s="2"/>
      <c r="W218" s="199"/>
      <c r="X218" s="198"/>
      <c r="Y218" s="198"/>
      <c r="Z218" s="198"/>
      <c r="AA218" s="274"/>
      <c r="AB218" s="21"/>
      <c r="AC218" s="21"/>
      <c r="AD218" s="21"/>
      <c r="AE218" s="21"/>
      <c r="AF218" s="355"/>
      <c r="AG218" s="20"/>
      <c r="AH218" s="21"/>
      <c r="AI218" s="21"/>
      <c r="AJ218" s="22"/>
      <c r="AK218" s="29"/>
      <c r="AL218" s="19"/>
      <c r="AM218" s="57"/>
      <c r="AN218" s="2"/>
      <c r="AO218" s="2"/>
      <c r="AP218" s="63"/>
      <c r="AQ218" s="68"/>
      <c r="AR218" s="21"/>
      <c r="AS218" s="21"/>
      <c r="AT218" s="21"/>
      <c r="AU218" s="240"/>
      <c r="AV218" s="19"/>
      <c r="AW218" s="195"/>
      <c r="AX218" s="2"/>
      <c r="AY218" s="238"/>
      <c r="BB218" s="19"/>
      <c r="BC218" s="24"/>
      <c r="BG218" s="147" t="s">
        <v>11</v>
      </c>
      <c r="BH218" s="52">
        <f>Q234/1000</f>
        <v>0</v>
      </c>
      <c r="BI218" s="52">
        <f>AJ234/1000</f>
        <v>0</v>
      </c>
      <c r="BJ218" s="52">
        <f>BB234/1000</f>
        <v>0</v>
      </c>
      <c r="BK218" s="137" t="e">
        <f t="shared" si="83"/>
        <v>#DIV/0!</v>
      </c>
      <c r="BL218" s="52">
        <f t="shared" si="84"/>
        <v>0</v>
      </c>
    </row>
    <row r="219" spans="1:79" s="90" customFormat="1">
      <c r="A219" s="699"/>
      <c r="B219" s="91" t="s">
        <v>42</v>
      </c>
      <c r="C219" s="92"/>
      <c r="D219" s="93"/>
      <c r="E219" s="94"/>
      <c r="F219" s="94"/>
      <c r="G219" s="95"/>
      <c r="H219" s="94"/>
      <c r="I219" s="96"/>
      <c r="J219" s="97"/>
      <c r="K219" s="97"/>
      <c r="L219" s="98"/>
      <c r="M219" s="94"/>
      <c r="N219" s="96"/>
      <c r="O219" s="97"/>
      <c r="P219" s="97"/>
      <c r="Q219" s="97"/>
      <c r="R219" s="102"/>
      <c r="T219" s="93"/>
      <c r="U219" s="94"/>
      <c r="V219" s="94"/>
      <c r="W219" s="211"/>
      <c r="X219" s="289"/>
      <c r="Y219" s="289"/>
      <c r="Z219" s="289"/>
      <c r="AA219" s="280"/>
      <c r="AB219" s="97"/>
      <c r="AC219" s="97"/>
      <c r="AD219" s="97"/>
      <c r="AE219" s="97"/>
      <c r="AF219" s="568"/>
      <c r="AG219" s="96"/>
      <c r="AH219" s="97"/>
      <c r="AI219" s="97"/>
      <c r="AJ219" s="98"/>
      <c r="AK219" s="102"/>
      <c r="AL219" s="103"/>
      <c r="AM219" s="93"/>
      <c r="AN219" s="94"/>
      <c r="AO219" s="94"/>
      <c r="AP219" s="95"/>
      <c r="AQ219" s="100"/>
      <c r="AR219" s="97"/>
      <c r="AS219" s="128"/>
      <c r="AT219" s="128"/>
      <c r="AU219" s="104"/>
      <c r="AV219" s="97"/>
      <c r="AW219" s="98"/>
      <c r="AX219" s="94"/>
      <c r="AY219" s="239"/>
      <c r="BB219" s="97"/>
      <c r="BC219" s="105"/>
      <c r="BG219" s="147" t="s">
        <v>1</v>
      </c>
      <c r="BH219" s="52">
        <f>Q235/1000</f>
        <v>0</v>
      </c>
      <c r="BI219" s="52">
        <f>AJ235/1000</f>
        <v>0</v>
      </c>
      <c r="BJ219" s="52">
        <f>BB235/1000</f>
        <v>0</v>
      </c>
      <c r="BK219" s="137" t="e">
        <f t="shared" si="83"/>
        <v>#DIV/0!</v>
      </c>
      <c r="BL219" s="52">
        <f t="shared" si="84"/>
        <v>0</v>
      </c>
      <c r="BM219" s="6"/>
      <c r="BN219" s="6"/>
      <c r="BO219" s="6"/>
      <c r="BU219" s="6"/>
      <c r="BV219" s="6"/>
      <c r="BW219" s="6"/>
      <c r="BX219" s="6"/>
      <c r="BY219" s="6"/>
      <c r="BZ219" s="6"/>
      <c r="CA219" s="6"/>
    </row>
    <row r="220" spans="1:79">
      <c r="A220" s="699"/>
      <c r="B220" s="23"/>
      <c r="C220" s="17" t="s">
        <v>33</v>
      </c>
      <c r="D220" s="57"/>
      <c r="E220" s="2"/>
      <c r="F220" s="2"/>
      <c r="G220" s="63"/>
      <c r="H220" s="2"/>
      <c r="I220" s="20"/>
      <c r="J220" s="21"/>
      <c r="K220" s="21"/>
      <c r="L220" s="22"/>
      <c r="M220" s="2"/>
      <c r="N220" s="23"/>
      <c r="O220" s="19"/>
      <c r="P220" s="19"/>
      <c r="Q220" s="19"/>
      <c r="R220" s="305"/>
      <c r="T220" s="57"/>
      <c r="U220" s="2"/>
      <c r="V220" s="2"/>
      <c r="W220" s="199"/>
      <c r="X220" s="198"/>
      <c r="Y220" s="198"/>
      <c r="Z220" s="198"/>
      <c r="AA220" s="274"/>
      <c r="AB220" s="21"/>
      <c r="AC220" s="21"/>
      <c r="AD220" s="21"/>
      <c r="AE220" s="21"/>
      <c r="AF220" s="355"/>
      <c r="AG220" s="20"/>
      <c r="AH220" s="21"/>
      <c r="AI220" s="21"/>
      <c r="AJ220" s="22"/>
      <c r="AK220" s="29"/>
      <c r="AL220" s="19"/>
      <c r="AM220" s="57"/>
      <c r="AN220" s="2"/>
      <c r="AO220" s="2"/>
      <c r="AP220" s="63"/>
      <c r="AQ220" s="68"/>
      <c r="AR220" s="21"/>
      <c r="AS220" s="21"/>
      <c r="AT220" s="21"/>
      <c r="AU220" s="240"/>
      <c r="AV220" s="19"/>
      <c r="AW220" s="195"/>
      <c r="AX220" s="2"/>
      <c r="AY220" s="238"/>
      <c r="BB220" s="19"/>
      <c r="BC220" s="24"/>
      <c r="BG220" s="142"/>
      <c r="BU220" s="90"/>
      <c r="BV220" s="90"/>
      <c r="BW220" s="90"/>
      <c r="BX220" s="90"/>
      <c r="BY220" s="90"/>
      <c r="BZ220" s="90"/>
      <c r="CA220" s="90"/>
    </row>
    <row r="221" spans="1:79">
      <c r="A221" s="699"/>
      <c r="B221" s="23"/>
      <c r="C221" s="17" t="s">
        <v>34</v>
      </c>
      <c r="D221" s="57"/>
      <c r="E221" s="2"/>
      <c r="F221" s="2"/>
      <c r="G221" s="63"/>
      <c r="H221" s="2"/>
      <c r="I221" s="20"/>
      <c r="J221" s="21"/>
      <c r="K221" s="21"/>
      <c r="L221" s="22"/>
      <c r="M221" s="2"/>
      <c r="N221" s="23"/>
      <c r="O221" s="19"/>
      <c r="P221" s="19"/>
      <c r="Q221" s="19"/>
      <c r="R221" s="305"/>
      <c r="T221" s="57"/>
      <c r="U221" s="2"/>
      <c r="V221" s="2"/>
      <c r="W221" s="199"/>
      <c r="X221" s="198"/>
      <c r="Y221" s="198"/>
      <c r="Z221" s="198"/>
      <c r="AA221" s="274"/>
      <c r="AB221" s="21"/>
      <c r="AC221" s="21"/>
      <c r="AD221" s="21"/>
      <c r="AE221" s="21"/>
      <c r="AF221" s="355"/>
      <c r="AG221" s="20"/>
      <c r="AH221" s="21"/>
      <c r="AI221" s="21"/>
      <c r="AJ221" s="22"/>
      <c r="AK221" s="29"/>
      <c r="AL221" s="19"/>
      <c r="AM221" s="57"/>
      <c r="AN221" s="2"/>
      <c r="AO221" s="2"/>
      <c r="AP221" s="63"/>
      <c r="AQ221" s="68"/>
      <c r="AR221" s="21"/>
      <c r="AS221" s="21"/>
      <c r="AT221" s="21"/>
      <c r="AU221" s="240"/>
      <c r="AV221" s="19"/>
      <c r="AW221" s="195"/>
      <c r="AX221" s="2"/>
      <c r="AY221" s="238"/>
      <c r="BB221" s="19"/>
      <c r="BC221" s="24"/>
    </row>
    <row r="222" spans="1:79">
      <c r="A222" s="699"/>
      <c r="B222" s="23"/>
      <c r="C222" s="17" t="s">
        <v>35</v>
      </c>
      <c r="D222" s="57"/>
      <c r="E222" s="2"/>
      <c r="F222" s="2"/>
      <c r="G222" s="63"/>
      <c r="H222" s="2"/>
      <c r="I222" s="20"/>
      <c r="J222" s="21"/>
      <c r="K222" s="21"/>
      <c r="L222" s="22"/>
      <c r="M222" s="2"/>
      <c r="N222" s="23"/>
      <c r="O222" s="19"/>
      <c r="P222" s="19"/>
      <c r="Q222" s="19"/>
      <c r="R222" s="305"/>
      <c r="T222" s="57"/>
      <c r="U222" s="2"/>
      <c r="V222" s="2"/>
      <c r="W222" s="199"/>
      <c r="X222" s="198"/>
      <c r="Y222" s="198"/>
      <c r="Z222" s="198"/>
      <c r="AA222" s="274"/>
      <c r="AB222" s="21"/>
      <c r="AC222" s="21"/>
      <c r="AD222" s="21"/>
      <c r="AE222" s="21"/>
      <c r="AF222" s="355"/>
      <c r="AG222" s="20"/>
      <c r="AH222" s="21"/>
      <c r="AI222" s="21"/>
      <c r="AJ222" s="22"/>
      <c r="AK222" s="29"/>
      <c r="AL222" s="19"/>
      <c r="AM222" s="57"/>
      <c r="AN222" s="2"/>
      <c r="AO222" s="2"/>
      <c r="AP222" s="63"/>
      <c r="AQ222" s="68"/>
      <c r="AR222" s="21"/>
      <c r="AS222" s="21"/>
      <c r="AT222" s="21"/>
      <c r="AU222" s="240"/>
      <c r="AV222" s="19"/>
      <c r="AW222" s="195"/>
      <c r="AX222" s="2"/>
      <c r="AY222" s="238"/>
      <c r="BB222" s="19"/>
      <c r="BC222" s="24"/>
    </row>
    <row r="223" spans="1:79">
      <c r="A223" s="699"/>
      <c r="B223" s="23"/>
      <c r="C223" s="17" t="s">
        <v>36</v>
      </c>
      <c r="D223" s="57"/>
      <c r="E223" s="2"/>
      <c r="F223" s="2"/>
      <c r="G223" s="63"/>
      <c r="H223" s="2"/>
      <c r="I223" s="20"/>
      <c r="J223" s="21"/>
      <c r="K223" s="21"/>
      <c r="L223" s="22"/>
      <c r="M223" s="2"/>
      <c r="N223" s="23"/>
      <c r="O223" s="19"/>
      <c r="P223" s="19"/>
      <c r="Q223" s="19"/>
      <c r="R223" s="305"/>
      <c r="T223" s="57"/>
      <c r="U223" s="2"/>
      <c r="V223" s="2"/>
      <c r="W223" s="199"/>
      <c r="X223" s="198"/>
      <c r="Y223" s="198"/>
      <c r="Z223" s="198"/>
      <c r="AA223" s="274"/>
      <c r="AB223" s="21"/>
      <c r="AC223" s="21"/>
      <c r="AD223" s="21"/>
      <c r="AE223" s="21"/>
      <c r="AF223" s="355"/>
      <c r="AG223" s="20"/>
      <c r="AH223" s="21"/>
      <c r="AI223" s="21"/>
      <c r="AJ223" s="22"/>
      <c r="AK223" s="29"/>
      <c r="AL223" s="19"/>
      <c r="AM223" s="57"/>
      <c r="AN223" s="2"/>
      <c r="AO223" s="2"/>
      <c r="AP223" s="63"/>
      <c r="AQ223" s="68"/>
      <c r="AR223" s="21"/>
      <c r="AS223" s="21"/>
      <c r="AT223" s="21"/>
      <c r="AU223" s="240"/>
      <c r="AV223" s="19"/>
      <c r="AW223" s="195"/>
      <c r="AX223" s="2"/>
      <c r="AY223" s="238"/>
      <c r="BB223" s="19"/>
      <c r="BC223" s="24"/>
    </row>
    <row r="224" spans="1:79" s="90" customFormat="1">
      <c r="A224" s="699"/>
      <c r="B224" s="91" t="s">
        <v>43</v>
      </c>
      <c r="C224" s="92"/>
      <c r="D224" s="93"/>
      <c r="E224" s="94"/>
      <c r="F224" s="94"/>
      <c r="G224" s="95"/>
      <c r="H224" s="94"/>
      <c r="I224" s="96"/>
      <c r="J224" s="97"/>
      <c r="K224" s="97"/>
      <c r="L224" s="98"/>
      <c r="M224" s="94"/>
      <c r="N224" s="96"/>
      <c r="O224" s="97"/>
      <c r="P224" s="97"/>
      <c r="Q224" s="97"/>
      <c r="R224" s="102"/>
      <c r="T224" s="93"/>
      <c r="U224" s="94"/>
      <c r="V224" s="94"/>
      <c r="W224" s="211"/>
      <c r="X224" s="289"/>
      <c r="Y224" s="289"/>
      <c r="Z224" s="289"/>
      <c r="AA224" s="280"/>
      <c r="AB224" s="97"/>
      <c r="AC224" s="97"/>
      <c r="AD224" s="97"/>
      <c r="AE224" s="97"/>
      <c r="AF224" s="568"/>
      <c r="AG224" s="96"/>
      <c r="AH224" s="97"/>
      <c r="AI224" s="97"/>
      <c r="AJ224" s="98"/>
      <c r="AK224" s="102"/>
      <c r="AL224" s="103"/>
      <c r="AM224" s="93"/>
      <c r="AN224" s="94"/>
      <c r="AO224" s="94"/>
      <c r="AP224" s="95"/>
      <c r="AQ224" s="100"/>
      <c r="AR224" s="97"/>
      <c r="AS224" s="97"/>
      <c r="AT224" s="97"/>
      <c r="AU224" s="104"/>
      <c r="AV224" s="97"/>
      <c r="AW224" s="98"/>
      <c r="AX224" s="94"/>
      <c r="AY224" s="239"/>
      <c r="BB224" s="97"/>
      <c r="BC224" s="105"/>
      <c r="BG224" s="143"/>
      <c r="BU224" s="6"/>
      <c r="BV224" s="6"/>
      <c r="BW224" s="6"/>
      <c r="BX224" s="6"/>
      <c r="BY224" s="6"/>
      <c r="BZ224" s="6"/>
      <c r="CA224" s="6"/>
    </row>
    <row r="225" spans="1:79" s="106" customFormat="1">
      <c r="A225" s="699"/>
      <c r="B225" s="107" t="s">
        <v>67</v>
      </c>
      <c r="C225" s="108"/>
      <c r="D225" s="109"/>
      <c r="E225" s="110"/>
      <c r="F225" s="110"/>
      <c r="G225" s="111"/>
      <c r="H225" s="110"/>
      <c r="I225" s="112"/>
      <c r="J225" s="113"/>
      <c r="K225" s="113"/>
      <c r="L225" s="114"/>
      <c r="M225" s="110"/>
      <c r="N225" s="112"/>
      <c r="O225" s="113"/>
      <c r="P225" s="113"/>
      <c r="Q225" s="114"/>
      <c r="R225" s="118"/>
      <c r="T225" s="202"/>
      <c r="U225" s="130"/>
      <c r="V225" s="130"/>
      <c r="W225" s="203"/>
      <c r="X225" s="130"/>
      <c r="Y225" s="130"/>
      <c r="Z225" s="130"/>
      <c r="AA225" s="276"/>
      <c r="AB225" s="113"/>
      <c r="AC225" s="113"/>
      <c r="AD225" s="113"/>
      <c r="AE225" s="113"/>
      <c r="AF225" s="567"/>
      <c r="AG225" s="112"/>
      <c r="AH225" s="113"/>
      <c r="AI225" s="113"/>
      <c r="AJ225" s="114"/>
      <c r="AK225" s="115"/>
      <c r="AL225" s="119"/>
      <c r="AM225" s="109"/>
      <c r="AN225" s="110"/>
      <c r="AO225" s="110"/>
      <c r="AP225" s="111"/>
      <c r="AQ225" s="116"/>
      <c r="AR225" s="113"/>
      <c r="AS225" s="113"/>
      <c r="AT225" s="113"/>
      <c r="AU225" s="120"/>
      <c r="AV225" s="113"/>
      <c r="AW225" s="114"/>
      <c r="AX225" s="110"/>
      <c r="AY225" s="237"/>
      <c r="BB225" s="113"/>
      <c r="BC225" s="118"/>
      <c r="BG225" s="144"/>
      <c r="BU225" s="90"/>
      <c r="BV225" s="90"/>
      <c r="BW225" s="90"/>
      <c r="BX225" s="90"/>
      <c r="BY225" s="90"/>
      <c r="BZ225" s="90"/>
      <c r="CA225" s="90"/>
    </row>
    <row r="226" spans="1:79" s="106" customFormat="1">
      <c r="A226" s="699"/>
      <c r="B226" s="37" t="s">
        <v>8</v>
      </c>
      <c r="C226" s="129" t="s">
        <v>8</v>
      </c>
      <c r="D226" s="109"/>
      <c r="E226" s="110"/>
      <c r="F226" s="110"/>
      <c r="G226" s="111"/>
      <c r="H226" s="110"/>
      <c r="I226" s="112"/>
      <c r="J226" s="113"/>
      <c r="K226" s="113"/>
      <c r="L226" s="114"/>
      <c r="M226" s="110"/>
      <c r="N226" s="112"/>
      <c r="O226" s="113"/>
      <c r="P226" s="113"/>
      <c r="Q226" s="114"/>
      <c r="R226" s="118"/>
      <c r="T226" s="109"/>
      <c r="U226" s="110"/>
      <c r="V226" s="110"/>
      <c r="W226" s="199"/>
      <c r="X226" s="198"/>
      <c r="Y226" s="198"/>
      <c r="Z226" s="198"/>
      <c r="AA226" s="276"/>
      <c r="AB226" s="113"/>
      <c r="AC226" s="113"/>
      <c r="AD226" s="113"/>
      <c r="AE226" s="113"/>
      <c r="AF226" s="567"/>
      <c r="AJ226" s="114"/>
      <c r="AK226" s="118"/>
      <c r="AL226" s="119"/>
      <c r="AM226" s="109"/>
      <c r="AN226" s="110"/>
      <c r="AO226" s="110"/>
      <c r="AP226" s="111"/>
      <c r="AQ226" s="116"/>
      <c r="AR226" s="113"/>
      <c r="AS226" s="113"/>
      <c r="AT226" s="113"/>
      <c r="AU226" s="120"/>
      <c r="AV226" s="113"/>
      <c r="AW226" s="114"/>
      <c r="AX226" s="110"/>
      <c r="AY226" s="237"/>
      <c r="BB226" s="113"/>
      <c r="BC226" s="121"/>
      <c r="BG226" s="144"/>
    </row>
    <row r="227" spans="1:79">
      <c r="A227" s="699"/>
      <c r="B227" s="23" t="s">
        <v>7</v>
      </c>
      <c r="C227" s="17" t="s">
        <v>9</v>
      </c>
      <c r="D227" s="57"/>
      <c r="E227" s="2"/>
      <c r="F227" s="2"/>
      <c r="G227" s="63"/>
      <c r="H227" s="2"/>
      <c r="I227" s="20"/>
      <c r="J227" s="21"/>
      <c r="K227" s="21"/>
      <c r="L227" s="22"/>
      <c r="M227" s="2"/>
      <c r="N227" s="20"/>
      <c r="O227" s="21"/>
      <c r="P227" s="21"/>
      <c r="Q227" s="22"/>
      <c r="R227" s="29"/>
      <c r="T227" s="57"/>
      <c r="U227" s="2"/>
      <c r="V227" s="2"/>
      <c r="W227" s="199"/>
      <c r="X227" s="198"/>
      <c r="Y227" s="198"/>
      <c r="Z227" s="198"/>
      <c r="AA227" s="274"/>
      <c r="AB227" s="21"/>
      <c r="AC227" s="21"/>
      <c r="AD227" s="21"/>
      <c r="AE227" s="21"/>
      <c r="AF227" s="355"/>
      <c r="AG227" s="20"/>
      <c r="AH227" s="21"/>
      <c r="AI227" s="21"/>
      <c r="AJ227" s="22"/>
      <c r="AK227" s="29"/>
      <c r="AL227" s="19"/>
      <c r="AM227" s="57"/>
      <c r="AN227" s="2"/>
      <c r="AO227" s="2"/>
      <c r="AP227" s="63"/>
      <c r="AQ227" s="68"/>
      <c r="AR227" s="21"/>
      <c r="AS227" s="35"/>
      <c r="AT227" s="21"/>
      <c r="AU227" s="25"/>
      <c r="AV227" s="21"/>
      <c r="AW227" s="22"/>
      <c r="AX227" s="2"/>
      <c r="AY227" s="238"/>
      <c r="BB227" s="21"/>
      <c r="BC227" s="29"/>
      <c r="BU227" s="106"/>
      <c r="BV227" s="106"/>
      <c r="BW227" s="106"/>
      <c r="BX227" s="106"/>
      <c r="BY227" s="106"/>
      <c r="BZ227" s="106"/>
      <c r="CA227" s="106"/>
    </row>
    <row r="228" spans="1:79">
      <c r="A228" s="699"/>
      <c r="B228" s="23"/>
      <c r="C228" s="17" t="s">
        <v>10</v>
      </c>
      <c r="D228" s="57"/>
      <c r="E228" s="2"/>
      <c r="F228" s="2"/>
      <c r="G228" s="63"/>
      <c r="H228" s="2"/>
      <c r="I228" s="20"/>
      <c r="J228" s="21"/>
      <c r="K228" s="21"/>
      <c r="L228" s="22"/>
      <c r="M228" s="2"/>
      <c r="N228" s="20"/>
      <c r="O228" s="21"/>
      <c r="P228" s="21"/>
      <c r="Q228" s="22"/>
      <c r="R228" s="305"/>
      <c r="T228" s="57"/>
      <c r="U228" s="2"/>
      <c r="V228" s="2"/>
      <c r="W228" s="199"/>
      <c r="X228" s="198"/>
      <c r="Y228" s="198"/>
      <c r="Z228" s="198"/>
      <c r="AA228" s="274"/>
      <c r="AB228" s="21"/>
      <c r="AC228" s="21"/>
      <c r="AD228" s="21"/>
      <c r="AE228" s="21"/>
      <c r="AF228" s="355"/>
      <c r="AG228" s="20"/>
      <c r="AH228" s="21"/>
      <c r="AI228" s="21"/>
      <c r="AJ228" s="22"/>
      <c r="AK228" s="29"/>
      <c r="AL228" s="19"/>
      <c r="AM228" s="57"/>
      <c r="AN228" s="2"/>
      <c r="AO228" s="2"/>
      <c r="AP228" s="63"/>
      <c r="AQ228" s="68"/>
      <c r="AR228" s="21"/>
      <c r="AS228" s="21"/>
      <c r="AT228" s="21"/>
      <c r="AU228" s="240"/>
      <c r="AV228" s="21"/>
      <c r="AW228" s="195"/>
      <c r="AX228" s="2"/>
      <c r="AY228" s="238"/>
      <c r="BB228" s="21"/>
      <c r="BC228" s="29"/>
    </row>
    <row r="229" spans="1:79" s="106" customFormat="1">
      <c r="A229" s="699"/>
      <c r="B229" s="107" t="s">
        <v>67</v>
      </c>
      <c r="C229" s="108"/>
      <c r="D229" s="109"/>
      <c r="E229" s="110"/>
      <c r="F229" s="110"/>
      <c r="G229" s="111"/>
      <c r="H229" s="110"/>
      <c r="I229" s="112"/>
      <c r="J229" s="113"/>
      <c r="K229" s="113"/>
      <c r="L229" s="114"/>
      <c r="M229" s="110"/>
      <c r="N229" s="112"/>
      <c r="O229" s="113"/>
      <c r="P229" s="113"/>
      <c r="Q229" s="114"/>
      <c r="R229" s="118"/>
      <c r="T229" s="109"/>
      <c r="U229" s="110"/>
      <c r="V229" s="110"/>
      <c r="W229" s="203"/>
      <c r="X229" s="130"/>
      <c r="Y229" s="130"/>
      <c r="Z229" s="130"/>
      <c r="AA229" s="276"/>
      <c r="AB229" s="113"/>
      <c r="AC229" s="113"/>
      <c r="AD229" s="113"/>
      <c r="AE229" s="113"/>
      <c r="AF229" s="567"/>
      <c r="AG229" s="112"/>
      <c r="AH229" s="113"/>
      <c r="AI229" s="113"/>
      <c r="AJ229" s="114"/>
      <c r="AK229" s="115"/>
      <c r="AL229" s="119"/>
      <c r="AM229" s="109"/>
      <c r="AN229" s="110"/>
      <c r="AO229" s="110"/>
      <c r="AP229" s="111"/>
      <c r="AQ229" s="116"/>
      <c r="AR229" s="113"/>
      <c r="AS229" s="113"/>
      <c r="AT229" s="113"/>
      <c r="AU229" s="120"/>
      <c r="AV229" s="113"/>
      <c r="AW229" s="114"/>
      <c r="AX229" s="110"/>
      <c r="AY229" s="241"/>
      <c r="AZ229" s="242"/>
      <c r="BA229" s="242"/>
      <c r="BB229" s="114"/>
      <c r="BC229" s="118"/>
      <c r="BD229" s="122"/>
      <c r="BG229" s="144"/>
      <c r="BU229" s="6"/>
      <c r="BV229" s="6"/>
      <c r="BW229" s="6"/>
      <c r="BX229" s="6"/>
      <c r="BY229" s="6"/>
      <c r="BZ229" s="6"/>
      <c r="CA229" s="6"/>
    </row>
    <row r="230" spans="1:79">
      <c r="A230" s="699"/>
      <c r="B230" s="23" t="s">
        <v>11</v>
      </c>
      <c r="C230" s="17" t="s">
        <v>12</v>
      </c>
      <c r="D230" s="57"/>
      <c r="E230" s="2"/>
      <c r="F230" s="2"/>
      <c r="G230" s="63"/>
      <c r="H230" s="2"/>
      <c r="I230" s="20"/>
      <c r="J230" s="21"/>
      <c r="K230" s="21"/>
      <c r="L230" s="22"/>
      <c r="M230" s="256"/>
      <c r="N230" s="20"/>
      <c r="O230" s="21"/>
      <c r="P230" s="21"/>
      <c r="Q230" s="22"/>
      <c r="R230" s="305"/>
      <c r="T230" s="57"/>
      <c r="U230" s="2"/>
      <c r="V230" s="2"/>
      <c r="W230" s="199"/>
      <c r="X230" s="198"/>
      <c r="Y230" s="198"/>
      <c r="Z230" s="198"/>
      <c r="AA230" s="274"/>
      <c r="AB230" s="21"/>
      <c r="AC230" s="21"/>
      <c r="AD230" s="21"/>
      <c r="AE230" s="21"/>
      <c r="AF230" s="569"/>
      <c r="AG230" s="20"/>
      <c r="AH230" s="21"/>
      <c r="AI230" s="21"/>
      <c r="AJ230" s="22"/>
      <c r="AK230" s="29"/>
      <c r="AL230" s="19"/>
      <c r="AM230" s="57"/>
      <c r="AN230" s="2"/>
      <c r="AO230" s="2"/>
      <c r="AP230" s="63"/>
      <c r="AQ230" s="68"/>
      <c r="AR230" s="21"/>
      <c r="AS230" s="21"/>
      <c r="AT230" s="21"/>
      <c r="AU230" s="25"/>
      <c r="AV230" s="21"/>
      <c r="AW230" s="22"/>
      <c r="AX230" s="256"/>
      <c r="AY230" s="23"/>
      <c r="AZ230" s="19"/>
      <c r="BA230" s="19"/>
      <c r="BB230" s="19"/>
      <c r="BC230" s="24"/>
      <c r="BU230" s="106"/>
      <c r="BV230" s="106"/>
      <c r="BW230" s="106"/>
      <c r="BX230" s="106"/>
      <c r="BY230" s="106"/>
      <c r="BZ230" s="106"/>
      <c r="CA230" s="106"/>
    </row>
    <row r="231" spans="1:79">
      <c r="A231" s="699"/>
      <c r="B231" s="23"/>
      <c r="C231" s="17" t="s">
        <v>13</v>
      </c>
      <c r="D231" s="57"/>
      <c r="E231" s="2"/>
      <c r="F231" s="2"/>
      <c r="G231" s="156"/>
      <c r="H231" s="3"/>
      <c r="I231" s="20"/>
      <c r="J231" s="21"/>
      <c r="K231" s="21"/>
      <c r="L231" s="22"/>
      <c r="M231" s="256"/>
      <c r="N231" s="20"/>
      <c r="O231" s="21"/>
      <c r="P231" s="21"/>
      <c r="Q231" s="22"/>
      <c r="R231" s="29"/>
      <c r="T231" s="57"/>
      <c r="U231" s="2"/>
      <c r="V231" s="2"/>
      <c r="W231" s="199"/>
      <c r="X231" s="198"/>
      <c r="Y231" s="198"/>
      <c r="Z231" s="198"/>
      <c r="AA231" s="282"/>
      <c r="AB231" s="21"/>
      <c r="AC231" s="21"/>
      <c r="AD231" s="21"/>
      <c r="AE231" s="21"/>
      <c r="AF231" s="569"/>
      <c r="AG231" s="20"/>
      <c r="AH231" s="21"/>
      <c r="AI231" s="21"/>
      <c r="AJ231" s="22"/>
      <c r="AK231" s="29"/>
      <c r="AL231" s="19"/>
      <c r="AM231" s="57"/>
      <c r="AN231" s="2"/>
      <c r="AO231" s="2"/>
      <c r="AP231" s="64"/>
      <c r="AQ231" s="69"/>
      <c r="AR231" s="21"/>
      <c r="AS231" s="21"/>
      <c r="AT231" s="21"/>
      <c r="AU231" s="25"/>
      <c r="AV231" s="21"/>
      <c r="AW231" s="22"/>
      <c r="AX231" s="256"/>
      <c r="AY231" s="20"/>
      <c r="AZ231" s="21"/>
      <c r="BA231" s="21"/>
      <c r="BB231" s="21"/>
      <c r="BC231" s="24"/>
    </row>
    <row r="232" spans="1:79">
      <c r="A232" s="699"/>
      <c r="B232" s="23"/>
      <c r="C232" s="17" t="s">
        <v>14</v>
      </c>
      <c r="D232" s="57"/>
      <c r="E232" s="2"/>
      <c r="F232" s="2"/>
      <c r="G232" s="156"/>
      <c r="H232" s="3"/>
      <c r="I232" s="20"/>
      <c r="J232" s="21"/>
      <c r="K232" s="21"/>
      <c r="L232" s="22"/>
      <c r="M232" s="256"/>
      <c r="N232" s="20"/>
      <c r="O232" s="21"/>
      <c r="P232" s="21"/>
      <c r="Q232" s="22"/>
      <c r="R232" s="29"/>
      <c r="T232" s="57"/>
      <c r="U232" s="2"/>
      <c r="V232" s="2"/>
      <c r="W232" s="199"/>
      <c r="X232" s="198"/>
      <c r="Y232" s="198"/>
      <c r="Z232" s="198"/>
      <c r="AA232" s="282"/>
      <c r="AB232" s="21"/>
      <c r="AC232" s="21"/>
      <c r="AD232" s="21"/>
      <c r="AE232" s="21"/>
      <c r="AF232" s="569"/>
      <c r="AG232" s="20"/>
      <c r="AH232" s="21"/>
      <c r="AI232" s="21"/>
      <c r="AJ232" s="22"/>
      <c r="AK232" s="29"/>
      <c r="AL232" s="19"/>
      <c r="AM232" s="57"/>
      <c r="AN232" s="2"/>
      <c r="AO232" s="2"/>
      <c r="AP232" s="254"/>
      <c r="AQ232" s="69"/>
      <c r="AR232" s="21"/>
      <c r="AS232" s="21"/>
      <c r="AT232" s="21"/>
      <c r="AU232" s="25"/>
      <c r="AV232" s="21"/>
      <c r="AW232" s="22"/>
      <c r="AX232" s="256"/>
      <c r="AY232" s="23"/>
      <c r="AZ232" s="19"/>
      <c r="BA232" s="19"/>
      <c r="BB232" s="21"/>
      <c r="BC232" s="24"/>
    </row>
    <row r="233" spans="1:79">
      <c r="A233" s="699"/>
      <c r="B233" s="23"/>
      <c r="C233" s="17" t="s">
        <v>15</v>
      </c>
      <c r="D233" s="57"/>
      <c r="E233" s="2"/>
      <c r="F233" s="2"/>
      <c r="G233" s="156"/>
      <c r="H233" s="3"/>
      <c r="I233" s="20"/>
      <c r="J233" s="21"/>
      <c r="K233" s="21"/>
      <c r="L233" s="22"/>
      <c r="M233" s="256"/>
      <c r="N233" s="20"/>
      <c r="O233" s="21"/>
      <c r="P233" s="21"/>
      <c r="Q233" s="22"/>
      <c r="R233" s="29"/>
      <c r="T233" s="57"/>
      <c r="U233" s="2"/>
      <c r="V233" s="2"/>
      <c r="W233" s="199"/>
      <c r="X233" s="198"/>
      <c r="Y233" s="198"/>
      <c r="Z233" s="198"/>
      <c r="AA233" s="282"/>
      <c r="AB233" s="21"/>
      <c r="AC233" s="21"/>
      <c r="AD233" s="21"/>
      <c r="AE233" s="21"/>
      <c r="AF233" s="569"/>
      <c r="AG233" s="20"/>
      <c r="AH233" s="21"/>
      <c r="AI233" s="21"/>
      <c r="AJ233" s="22"/>
      <c r="AK233" s="29"/>
      <c r="AL233" s="19"/>
      <c r="AM233" s="57"/>
      <c r="AN233" s="2"/>
      <c r="AO233" s="2"/>
      <c r="AP233" s="64"/>
      <c r="AQ233" s="69"/>
      <c r="AR233" s="21"/>
      <c r="AS233" s="21"/>
      <c r="AT233" s="21"/>
      <c r="AU233" s="25"/>
      <c r="AV233" s="21"/>
      <c r="AW233" s="22"/>
      <c r="AX233" s="256"/>
      <c r="AY233" s="23"/>
      <c r="AZ233" s="19"/>
      <c r="BA233" s="19"/>
      <c r="BB233" s="21"/>
      <c r="BC233" s="24"/>
    </row>
    <row r="234" spans="1:79" s="106" customFormat="1">
      <c r="A234" s="699"/>
      <c r="B234" s="107" t="s">
        <v>67</v>
      </c>
      <c r="C234" s="108"/>
      <c r="D234" s="109"/>
      <c r="E234" s="110"/>
      <c r="F234" s="110"/>
      <c r="G234" s="124"/>
      <c r="H234" s="125"/>
      <c r="I234" s="112"/>
      <c r="J234" s="113"/>
      <c r="K234" s="113"/>
      <c r="L234" s="114"/>
      <c r="M234" s="110"/>
      <c r="N234" s="112"/>
      <c r="O234" s="113"/>
      <c r="P234" s="113"/>
      <c r="Q234" s="114"/>
      <c r="R234" s="118"/>
      <c r="T234" s="109"/>
      <c r="U234" s="110"/>
      <c r="V234" s="110"/>
      <c r="W234" s="203"/>
      <c r="X234" s="130"/>
      <c r="Y234" s="130"/>
      <c r="Z234" s="130"/>
      <c r="AA234" s="284"/>
      <c r="AB234" s="113"/>
      <c r="AC234" s="113"/>
      <c r="AD234" s="113"/>
      <c r="AE234" s="113"/>
      <c r="AF234" s="567"/>
      <c r="AG234" s="112"/>
      <c r="AH234" s="113"/>
      <c r="AI234" s="113"/>
      <c r="AJ234" s="114"/>
      <c r="AK234" s="115"/>
      <c r="AL234" s="119"/>
      <c r="AM234" s="109"/>
      <c r="AN234" s="110"/>
      <c r="AO234" s="110"/>
      <c r="AP234" s="124"/>
      <c r="AQ234" s="126"/>
      <c r="AR234" s="113"/>
      <c r="AS234" s="113"/>
      <c r="AT234" s="113"/>
      <c r="AU234" s="120"/>
      <c r="AV234" s="113"/>
      <c r="AW234" s="114"/>
      <c r="AX234" s="110"/>
      <c r="AY234" s="127"/>
      <c r="AZ234" s="119"/>
      <c r="BA234" s="119"/>
      <c r="BB234" s="113"/>
      <c r="BC234" s="121"/>
      <c r="BG234" s="144"/>
      <c r="BU234" s="6"/>
      <c r="BV234" s="6"/>
      <c r="BW234" s="6"/>
      <c r="BX234" s="6"/>
      <c r="BY234" s="6"/>
      <c r="BZ234" s="6"/>
      <c r="CA234" s="6"/>
    </row>
    <row r="235" spans="1:79" s="106" customFormat="1" ht="13.5" thickBot="1">
      <c r="A235" s="699"/>
      <c r="B235" s="131" t="s">
        <v>37</v>
      </c>
      <c r="C235" s="132" t="s">
        <v>1</v>
      </c>
      <c r="D235" s="109"/>
      <c r="E235" s="110"/>
      <c r="F235" s="110"/>
      <c r="G235" s="111"/>
      <c r="H235" s="130"/>
      <c r="I235" s="112"/>
      <c r="J235" s="113"/>
      <c r="K235" s="113"/>
      <c r="L235" s="114"/>
      <c r="M235" s="110"/>
      <c r="N235" s="127"/>
      <c r="O235" s="119"/>
      <c r="P235" s="119"/>
      <c r="Q235" s="113"/>
      <c r="R235" s="118"/>
      <c r="T235" s="109"/>
      <c r="U235" s="110"/>
      <c r="V235" s="110"/>
      <c r="W235" s="199"/>
      <c r="X235" s="130"/>
      <c r="Y235" s="130"/>
      <c r="Z235" s="130"/>
      <c r="AA235" s="285"/>
      <c r="AB235" s="113"/>
      <c r="AC235" s="113"/>
      <c r="AD235" s="113"/>
      <c r="AE235" s="113"/>
      <c r="AF235" s="567"/>
      <c r="AG235" s="112"/>
      <c r="AH235" s="113"/>
      <c r="AI235" s="113"/>
      <c r="AJ235" s="114"/>
      <c r="AK235" s="115"/>
      <c r="AL235" s="119"/>
      <c r="AM235" s="109"/>
      <c r="AN235" s="110"/>
      <c r="AO235" s="110"/>
      <c r="AP235" s="111"/>
      <c r="AQ235" s="117"/>
      <c r="AR235" s="113"/>
      <c r="AS235" s="113"/>
      <c r="AT235" s="113"/>
      <c r="AU235" s="120"/>
      <c r="AV235" s="113"/>
      <c r="AW235" s="114"/>
      <c r="AX235" s="110"/>
      <c r="AY235" s="127"/>
      <c r="AZ235" s="119"/>
      <c r="BA235" s="119"/>
      <c r="BB235" s="119"/>
      <c r="BC235" s="121"/>
      <c r="BG235" s="144"/>
    </row>
    <row r="236" spans="1:79" ht="13.5" thickBot="1">
      <c r="B236" s="19"/>
      <c r="C236" s="38"/>
      <c r="D236" s="57"/>
      <c r="E236" s="2"/>
      <c r="F236" s="2"/>
      <c r="G236" s="63"/>
      <c r="H236" s="2"/>
      <c r="I236" s="20"/>
      <c r="J236" s="21"/>
      <c r="K236" s="21"/>
      <c r="L236" s="22"/>
      <c r="M236" s="2"/>
      <c r="N236" s="23"/>
      <c r="O236" s="19"/>
      <c r="P236" s="19"/>
      <c r="Q236" s="19"/>
      <c r="R236" s="24"/>
      <c r="T236" s="57"/>
      <c r="U236" s="2"/>
      <c r="V236" s="2"/>
      <c r="W236" s="63"/>
      <c r="X236" s="2"/>
      <c r="Y236" s="2"/>
      <c r="Z236" s="2"/>
      <c r="AA236" s="274"/>
      <c r="AB236" s="21"/>
      <c r="AC236" s="21"/>
      <c r="AD236" s="21"/>
      <c r="AE236" s="21"/>
      <c r="AF236" s="355"/>
      <c r="AG236" s="20"/>
      <c r="AH236" s="21"/>
      <c r="AI236" s="21"/>
      <c r="AJ236" s="22"/>
      <c r="AK236" s="29"/>
      <c r="AL236" s="19"/>
      <c r="AM236" s="57"/>
      <c r="AN236" s="2"/>
      <c r="AO236" s="2"/>
      <c r="AP236" s="63"/>
      <c r="AQ236" s="68"/>
      <c r="AR236" s="21"/>
      <c r="AS236" s="21"/>
      <c r="AT236" s="21"/>
      <c r="AU236" s="25"/>
      <c r="AV236" s="21"/>
      <c r="AW236" s="22"/>
      <c r="AX236" s="2"/>
      <c r="AY236" s="23"/>
      <c r="AZ236" s="19"/>
      <c r="BA236" s="19"/>
      <c r="BB236" s="19"/>
      <c r="BC236" s="24"/>
      <c r="BU236" s="106"/>
      <c r="BV236" s="106"/>
      <c r="BW236" s="106"/>
      <c r="BX236" s="106"/>
      <c r="BY236" s="106"/>
      <c r="BZ236" s="106"/>
      <c r="CA236" s="106"/>
    </row>
    <row r="237" spans="1:79" ht="13.5" thickBot="1">
      <c r="C237" s="210" t="s">
        <v>90</v>
      </c>
      <c r="D237" s="58"/>
      <c r="E237" s="59"/>
      <c r="F237" s="2"/>
      <c r="G237" s="65"/>
      <c r="H237" s="2"/>
      <c r="I237" s="20"/>
      <c r="J237" s="21"/>
      <c r="K237" s="21"/>
      <c r="L237" s="22"/>
      <c r="M237" s="2"/>
      <c r="N237" s="23"/>
      <c r="O237" s="21"/>
      <c r="P237" s="19"/>
      <c r="Q237" s="19"/>
      <c r="R237" s="24"/>
      <c r="T237" s="58"/>
      <c r="U237" s="59"/>
      <c r="V237" s="2"/>
      <c r="W237" s="65"/>
      <c r="X237" s="198"/>
      <c r="Y237" s="198"/>
      <c r="Z237" s="198"/>
      <c r="AA237" s="274"/>
      <c r="AB237" s="21"/>
      <c r="AC237" s="21"/>
      <c r="AD237" s="21"/>
      <c r="AE237" s="21"/>
      <c r="AF237" s="355"/>
      <c r="AG237" s="20"/>
      <c r="AH237" s="21"/>
      <c r="AI237" s="21"/>
      <c r="AJ237" s="22"/>
      <c r="AK237" s="40"/>
      <c r="AL237" s="19"/>
      <c r="AM237" s="58"/>
      <c r="AN237" s="59"/>
      <c r="AO237" s="2"/>
      <c r="AP237" s="65"/>
      <c r="AQ237" s="68"/>
      <c r="AR237" s="21"/>
      <c r="AS237" s="21"/>
      <c r="AT237" s="21"/>
      <c r="AU237" s="25"/>
      <c r="AV237" s="21"/>
      <c r="AW237" s="22"/>
      <c r="AX237" s="2"/>
      <c r="AY237" s="23"/>
      <c r="AZ237" s="19"/>
      <c r="BA237" s="19"/>
      <c r="BB237" s="19"/>
      <c r="BC237" s="24"/>
    </row>
    <row r="238" spans="1:79" ht="13.5" thickBot="1">
      <c r="C238" s="135" t="s">
        <v>92</v>
      </c>
      <c r="D238" s="134"/>
      <c r="E238" s="134"/>
      <c r="F238" s="229"/>
      <c r="G238" s="66"/>
      <c r="H238" s="220"/>
      <c r="I238" s="41"/>
      <c r="J238" s="218"/>
      <c r="K238" s="218"/>
      <c r="L238" s="42"/>
      <c r="M238" s="43"/>
      <c r="N238" s="44"/>
      <c r="O238" s="45"/>
      <c r="P238" s="45"/>
      <c r="Q238" s="133"/>
      <c r="R238" s="27"/>
      <c r="T238" s="60"/>
      <c r="U238" s="706"/>
      <c r="V238" s="707"/>
      <c r="W238" s="66"/>
      <c r="X238" s="362"/>
      <c r="Y238" s="362"/>
      <c r="Z238" s="362"/>
      <c r="AA238" s="287"/>
      <c r="AB238" s="45"/>
      <c r="AC238" s="45"/>
      <c r="AD238" s="45"/>
      <c r="AE238" s="45"/>
      <c r="AF238" s="555"/>
      <c r="AG238" s="44"/>
      <c r="AH238" s="45"/>
      <c r="AI238" s="45"/>
      <c r="AJ238" s="354"/>
      <c r="AK238" s="27"/>
      <c r="AL238" s="19"/>
      <c r="AM238" s="60"/>
      <c r="AN238" s="706"/>
      <c r="AO238" s="707"/>
      <c r="AP238" s="66"/>
      <c r="AQ238" s="71"/>
      <c r="AR238" s="45"/>
      <c r="AS238" s="46"/>
      <c r="AT238" s="45"/>
      <c r="AU238" s="47"/>
      <c r="AV238" s="45"/>
      <c r="AW238" s="214"/>
      <c r="AX238" s="43"/>
      <c r="AY238" s="44"/>
      <c r="AZ238" s="45"/>
      <c r="BA238" s="45"/>
      <c r="BB238" s="354"/>
      <c r="BC238" s="27"/>
    </row>
    <row r="239" spans="1:79" ht="13.5" thickBot="1">
      <c r="C239" s="136" t="s">
        <v>65</v>
      </c>
      <c r="I239" s="52"/>
      <c r="Q239" s="49"/>
      <c r="R239" s="216"/>
      <c r="AJ239" s="353"/>
      <c r="AK239" s="216"/>
      <c r="BB239" s="353"/>
      <c r="BC239" s="216"/>
    </row>
    <row r="241" spans="3:3">
      <c r="C241" s="89"/>
    </row>
  </sheetData>
  <mergeCells count="47">
    <mergeCell ref="BC5:BC6"/>
    <mergeCell ref="AN50:AO50"/>
    <mergeCell ref="A7:A47"/>
    <mergeCell ref="BH7:BL7"/>
    <mergeCell ref="BM7:BN7"/>
    <mergeCell ref="BH8:BK8"/>
    <mergeCell ref="J24:J25"/>
    <mergeCell ref="B5:B6"/>
    <mergeCell ref="C5:C6"/>
    <mergeCell ref="D5:G5"/>
    <mergeCell ref="H5:H6"/>
    <mergeCell ref="I5:L5"/>
    <mergeCell ref="AY5:BB5"/>
    <mergeCell ref="N4:R4"/>
    <mergeCell ref="N5:Q5"/>
    <mergeCell ref="T5:W5"/>
    <mergeCell ref="AG5:AJ5"/>
    <mergeCell ref="AM5:AP5"/>
    <mergeCell ref="X5:AA5"/>
    <mergeCell ref="T4:AA4"/>
    <mergeCell ref="AK5:AK6"/>
    <mergeCell ref="R5:R6"/>
    <mergeCell ref="A54:A94"/>
    <mergeCell ref="BH54:BL54"/>
    <mergeCell ref="BM54:BN54"/>
    <mergeCell ref="BH55:BK55"/>
    <mergeCell ref="AN97:AO97"/>
    <mergeCell ref="J71:J72"/>
    <mergeCell ref="A101:A141"/>
    <mergeCell ref="BH101:BL101"/>
    <mergeCell ref="BM101:BN101"/>
    <mergeCell ref="BH102:BK102"/>
    <mergeCell ref="AN144:AO144"/>
    <mergeCell ref="J118:J119"/>
    <mergeCell ref="A148:A188"/>
    <mergeCell ref="BH148:BL148"/>
    <mergeCell ref="BM148:BN148"/>
    <mergeCell ref="BH149:BK149"/>
    <mergeCell ref="AN191:AO191"/>
    <mergeCell ref="J165:J166"/>
    <mergeCell ref="A195:A235"/>
    <mergeCell ref="BH195:BL195"/>
    <mergeCell ref="BM195:BN195"/>
    <mergeCell ref="BH196:BK196"/>
    <mergeCell ref="U238:V238"/>
    <mergeCell ref="AN238:AO238"/>
    <mergeCell ref="J212:J213"/>
  </mergeCells>
  <pageMargins left="0.7" right="0.7" top="0.75" bottom="0.75" header="0.3" footer="0.3"/>
  <pageSetup paperSize="9" orientation="portrait" verticalDpi="0" r:id="rId1"/>
  <drawing r:id="rId2"/>
  <legacyDrawing r:id="rId3"/>
</worksheet>
</file>

<file path=xl/worksheets/sheet6.xml><?xml version="1.0" encoding="utf-8"?>
<worksheet xmlns="http://schemas.openxmlformats.org/spreadsheetml/2006/main" xmlns:r="http://schemas.openxmlformats.org/officeDocument/2006/relationships">
  <dimension ref="A1:CC194"/>
  <sheetViews>
    <sheetView zoomScale="80" zoomScaleNormal="80" zoomScaleSheetLayoutView="25" zoomScalePageLayoutView="10" workbookViewId="0">
      <pane xSplit="3" ySplit="6" topLeftCell="N7" activePane="bottomRight" state="frozen"/>
      <selection pane="topRight" activeCell="D1" sqref="D1"/>
      <selection pane="bottomLeft" activeCell="A8" sqref="A8"/>
      <selection pane="bottomRight" activeCell="N7" sqref="N7"/>
    </sheetView>
  </sheetViews>
  <sheetFormatPr defaultRowHeight="12.75"/>
  <cols>
    <col min="1" max="1" width="7.28515625" style="6" customWidth="1"/>
    <col min="2" max="2" width="18.7109375" style="6" customWidth="1"/>
    <col min="3" max="3" width="35.42578125" style="6" customWidth="1"/>
    <col min="4" max="4" width="11.140625" style="6" hidden="1" customWidth="1"/>
    <col min="5" max="6" width="9"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46.7109375" style="6" hidden="1" customWidth="1"/>
    <col min="14" max="17" width="9.7109375" style="6" customWidth="1"/>
    <col min="18" max="18" width="6.42578125" style="6" customWidth="1"/>
    <col min="19" max="19" width="2.7109375" style="6" customWidth="1"/>
    <col min="20" max="26" width="10" style="6" hidden="1" customWidth="1"/>
    <col min="27" max="27" width="13.5703125" style="6" hidden="1" customWidth="1"/>
    <col min="28" max="31" width="8" style="6" hidden="1" customWidth="1"/>
    <col min="32" max="32" width="38.85546875" style="6" hidden="1" customWidth="1"/>
    <col min="33" max="36" width="9.7109375" style="6" customWidth="1"/>
    <col min="37" max="37" width="6.4257812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2.7109375" style="6" hidden="1" customWidth="1"/>
    <col min="45" max="46" width="13.140625" style="6" hidden="1" customWidth="1"/>
    <col min="47" max="49" width="11" style="6" hidden="1" customWidth="1"/>
    <col min="50" max="50" width="53.5703125" style="6" hidden="1" customWidth="1"/>
    <col min="51" max="54" width="9.7109375" style="6" customWidth="1"/>
    <col min="55" max="55" width="7.5703125" style="6" customWidth="1"/>
    <col min="56" max="56" width="2.85546875" style="6" customWidth="1"/>
    <col min="57" max="58" width="9.140625" style="6"/>
    <col min="59" max="59" width="9.140625" style="140"/>
    <col min="60" max="61" width="9.140625" style="6"/>
    <col min="62" max="63" width="15" style="6" customWidth="1"/>
    <col min="64" max="16384" width="9.140625" style="6"/>
  </cols>
  <sheetData>
    <row r="1" spans="1:73" s="1" customFormat="1" ht="21">
      <c r="A1" s="1" t="s">
        <v>251</v>
      </c>
      <c r="BG1" s="139"/>
    </row>
    <row r="2" spans="1:73" s="157" customFormat="1" ht="13.5" thickBot="1">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183" t="s">
        <v>53</v>
      </c>
      <c r="G4" s="184"/>
      <c r="H4" s="183"/>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176"/>
      <c r="AG4" s="190"/>
      <c r="AH4" s="191" t="s">
        <v>39</v>
      </c>
      <c r="AI4" s="183"/>
      <c r="AJ4" s="183"/>
      <c r="AK4" s="192"/>
      <c r="AL4" s="7"/>
      <c r="AM4" s="181"/>
      <c r="AN4" s="182"/>
      <c r="AO4" s="183" t="s">
        <v>53</v>
      </c>
      <c r="AP4" s="184"/>
      <c r="AQ4" s="188"/>
      <c r="AR4" s="7"/>
      <c r="AS4" s="7"/>
      <c r="AT4" s="7"/>
      <c r="AU4" s="182" t="s">
        <v>41</v>
      </c>
      <c r="AV4" s="186"/>
      <c r="AW4" s="186"/>
      <c r="AX4" s="7"/>
      <c r="AY4" s="190"/>
      <c r="AZ4" s="191" t="s">
        <v>39</v>
      </c>
      <c r="BA4" s="183"/>
      <c r="BB4" s="183"/>
      <c r="BC4" s="192"/>
    </row>
    <row r="5" spans="1:73"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177" t="s">
        <v>63</v>
      </c>
      <c r="AR5" s="7"/>
      <c r="AS5" s="178" t="s">
        <v>49</v>
      </c>
      <c r="AT5" s="178"/>
      <c r="AU5" s="179"/>
      <c r="AV5" s="15"/>
      <c r="AW5" s="180"/>
      <c r="AX5" s="7"/>
      <c r="AY5" s="710" t="s">
        <v>60</v>
      </c>
      <c r="AZ5" s="711"/>
      <c r="BA5" s="711"/>
      <c r="BB5" s="712"/>
      <c r="BC5" s="718" t="s">
        <v>62</v>
      </c>
      <c r="BD5" s="8"/>
    </row>
    <row r="6" spans="1:73" ht="26.2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1" t="s">
        <v>40</v>
      </c>
      <c r="R6" s="719"/>
      <c r="T6" s="9" t="s">
        <v>44</v>
      </c>
      <c r="U6" s="10" t="s">
        <v>45</v>
      </c>
      <c r="V6" s="10" t="s">
        <v>46</v>
      </c>
      <c r="W6" s="11" t="s">
        <v>40</v>
      </c>
      <c r="X6" s="14" t="s">
        <v>44</v>
      </c>
      <c r="Y6" s="10" t="s">
        <v>45</v>
      </c>
      <c r="Z6" s="10" t="s">
        <v>46</v>
      </c>
      <c r="AA6" s="11" t="s">
        <v>40</v>
      </c>
      <c r="AB6" s="9" t="s">
        <v>44</v>
      </c>
      <c r="AC6" s="10" t="s">
        <v>45</v>
      </c>
      <c r="AD6" s="10" t="s">
        <v>46</v>
      </c>
      <c r="AE6" s="10" t="s">
        <v>40</v>
      </c>
      <c r="AF6" s="12" t="s">
        <v>48</v>
      </c>
      <c r="AG6" s="9" t="s">
        <v>44</v>
      </c>
      <c r="AH6" s="10" t="s">
        <v>45</v>
      </c>
      <c r="AI6" s="10" t="s">
        <v>46</v>
      </c>
      <c r="AJ6" s="10" t="s">
        <v>40</v>
      </c>
      <c r="AK6" s="719"/>
      <c r="AL6" s="13"/>
      <c r="AM6" s="9" t="s">
        <v>44</v>
      </c>
      <c r="AN6" s="10" t="s">
        <v>45</v>
      </c>
      <c r="AO6" s="10" t="s">
        <v>46</v>
      </c>
      <c r="AP6" s="10" t="s">
        <v>40</v>
      </c>
      <c r="AQ6" s="12"/>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64</v>
      </c>
      <c r="B7" s="16" t="s">
        <v>3</v>
      </c>
      <c r="C7" s="17" t="s">
        <v>16</v>
      </c>
      <c r="D7" s="55"/>
      <c r="E7" s="56"/>
      <c r="F7" s="2"/>
      <c r="G7" s="63"/>
      <c r="H7" s="5"/>
      <c r="I7" s="151"/>
      <c r="J7" s="26"/>
      <c r="K7" s="26"/>
      <c r="L7" s="133"/>
      <c r="M7" s="56"/>
      <c r="N7" s="16"/>
      <c r="O7" s="18"/>
      <c r="P7" s="18"/>
      <c r="Q7" s="244"/>
      <c r="R7" s="24"/>
      <c r="T7" s="55"/>
      <c r="U7" s="56"/>
      <c r="V7" s="56"/>
      <c r="W7" s="199">
        <f>[2]SA!P40</f>
        <v>145000</v>
      </c>
      <c r="X7" s="198"/>
      <c r="Y7" s="198"/>
      <c r="Z7" s="198"/>
      <c r="AA7" s="272"/>
      <c r="AB7" s="26"/>
      <c r="AC7" s="26"/>
      <c r="AD7" s="26"/>
      <c r="AE7" s="26"/>
      <c r="AF7" s="84"/>
      <c r="AG7" s="20"/>
      <c r="AH7" s="21"/>
      <c r="AI7" s="21"/>
      <c r="AJ7" s="22">
        <f>W7</f>
        <v>145000</v>
      </c>
      <c r="AK7" s="27">
        <f>AJ7/[2]Popn!$F$43*1000</f>
        <v>88.690846645880384</v>
      </c>
      <c r="AL7" s="19"/>
      <c r="AM7" s="55"/>
      <c r="AN7" s="56"/>
      <c r="AO7" s="2"/>
      <c r="AP7" s="63"/>
      <c r="AQ7" s="67"/>
      <c r="AR7" s="26"/>
      <c r="AS7" s="21"/>
      <c r="AT7" s="21"/>
      <c r="AU7" s="25"/>
      <c r="AV7" s="21"/>
      <c r="AW7" s="22"/>
      <c r="AX7" s="56"/>
      <c r="AY7" s="23"/>
      <c r="AZ7" s="18"/>
      <c r="BA7" s="19"/>
      <c r="BB7" s="19"/>
      <c r="BC7" s="24"/>
      <c r="BD7" s="8"/>
      <c r="BH7" s="700" t="s">
        <v>70</v>
      </c>
      <c r="BI7" s="701"/>
      <c r="BJ7" s="701"/>
      <c r="BK7" s="701"/>
      <c r="BL7" s="702"/>
      <c r="BM7" s="700" t="s">
        <v>71</v>
      </c>
      <c r="BN7" s="702"/>
      <c r="BP7" s="8"/>
      <c r="BQ7" s="8"/>
      <c r="BR7" s="8"/>
      <c r="BS7" s="8"/>
      <c r="BT7" s="8"/>
      <c r="BU7" s="8"/>
    </row>
    <row r="8" spans="1:73">
      <c r="A8" s="699"/>
      <c r="B8" s="23"/>
      <c r="C8" s="17" t="s">
        <v>17</v>
      </c>
      <c r="D8" s="57"/>
      <c r="E8" s="2"/>
      <c r="F8" s="2"/>
      <c r="G8" s="63"/>
      <c r="H8" s="5"/>
      <c r="I8" s="20"/>
      <c r="J8" s="21"/>
      <c r="K8" s="21"/>
      <c r="L8" s="22"/>
      <c r="M8" s="2"/>
      <c r="N8" s="23"/>
      <c r="O8" s="19"/>
      <c r="P8" s="19"/>
      <c r="Q8" s="19"/>
      <c r="R8" s="24"/>
      <c r="T8" s="57"/>
      <c r="U8" s="2"/>
      <c r="V8" s="2"/>
      <c r="W8" s="199">
        <f>[2]SA!P41</f>
        <v>100000</v>
      </c>
      <c r="X8" s="198"/>
      <c r="Y8" s="198"/>
      <c r="Z8" s="198"/>
      <c r="AA8" s="272"/>
      <c r="AB8" s="21"/>
      <c r="AC8" s="21"/>
      <c r="AD8" s="21"/>
      <c r="AE8" s="21"/>
      <c r="AF8" s="70"/>
      <c r="AG8" s="20"/>
      <c r="AH8" s="21"/>
      <c r="AI8" s="21"/>
      <c r="AJ8" s="22">
        <f t="shared" ref="AJ8:AJ47" si="0">W8</f>
        <v>100000</v>
      </c>
      <c r="AK8" s="29">
        <f>AJ8/[2]Popn!$F$43*1000</f>
        <v>61.166101135089917</v>
      </c>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
      <c r="F9" s="2"/>
      <c r="G9" s="63"/>
      <c r="H9" s="5"/>
      <c r="I9" s="20"/>
      <c r="J9" s="21"/>
      <c r="K9" s="21"/>
      <c r="L9" s="22"/>
      <c r="M9" s="2"/>
      <c r="N9" s="23"/>
      <c r="O9" s="19"/>
      <c r="P9" s="19"/>
      <c r="Q9" s="19"/>
      <c r="R9" s="24"/>
      <c r="T9" s="57"/>
      <c r="U9" s="2"/>
      <c r="V9" s="2"/>
      <c r="W9" s="199">
        <f>[2]SA!P42</f>
        <v>860000</v>
      </c>
      <c r="X9" s="198"/>
      <c r="Y9" s="198"/>
      <c r="Z9" s="198"/>
      <c r="AA9" s="272"/>
      <c r="AB9" s="21"/>
      <c r="AC9" s="21"/>
      <c r="AD9" s="21"/>
      <c r="AE9" s="21"/>
      <c r="AF9" s="70"/>
      <c r="AG9" s="20"/>
      <c r="AH9" s="21"/>
      <c r="AI9" s="21"/>
      <c r="AJ9" s="22">
        <f t="shared" si="0"/>
        <v>860000</v>
      </c>
      <c r="AK9" s="29">
        <f>AJ9/[2]Popn!$F$43*1000</f>
        <v>526.02846976177329</v>
      </c>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
      <c r="N10" s="23"/>
      <c r="O10" s="19"/>
      <c r="P10" s="19"/>
      <c r="Q10" s="19"/>
      <c r="R10" s="24"/>
      <c r="T10" s="57"/>
      <c r="U10" s="2"/>
      <c r="V10" s="2"/>
      <c r="W10" s="199">
        <f>[2]SA!P43</f>
        <v>31800</v>
      </c>
      <c r="X10" s="198"/>
      <c r="Y10" s="198"/>
      <c r="Z10" s="198"/>
      <c r="AA10" s="274"/>
      <c r="AB10" s="21"/>
      <c r="AC10" s="21"/>
      <c r="AD10" s="21"/>
      <c r="AE10" s="21"/>
      <c r="AF10" s="70"/>
      <c r="AG10" s="20"/>
      <c r="AH10" s="21"/>
      <c r="AI10" s="21"/>
      <c r="AJ10" s="22">
        <f t="shared" si="0"/>
        <v>31800</v>
      </c>
      <c r="AK10" s="29">
        <f>AJ10/[2]Popn!$F$43*1000</f>
        <v>19.450820160958596</v>
      </c>
      <c r="AL10" s="19"/>
      <c r="AM10" s="57"/>
      <c r="AN10" s="2"/>
      <c r="AO10" s="2"/>
      <c r="AP10" s="63"/>
      <c r="AQ10" s="68"/>
      <c r="AR10" s="21"/>
      <c r="AS10" s="21"/>
      <c r="AT10" s="21"/>
      <c r="AU10" s="25"/>
      <c r="AV10" s="21"/>
      <c r="AW10" s="22"/>
      <c r="AX10" s="2"/>
      <c r="AY10" s="23"/>
      <c r="AZ10" s="19"/>
      <c r="BA10" s="19"/>
      <c r="BB10" s="19"/>
      <c r="BC10" s="24"/>
      <c r="BD10" s="30"/>
      <c r="BG10" s="145" t="s">
        <v>72</v>
      </c>
      <c r="BH10" s="52">
        <f>N50/1000</f>
        <v>306.98064209297598</v>
      </c>
      <c r="BI10" s="52">
        <f>O50/1000</f>
        <v>163.923528035549</v>
      </c>
      <c r="BJ10" s="52">
        <f>P50/1000</f>
        <v>411.83082026073254</v>
      </c>
      <c r="BK10" s="53">
        <f>Q50/1000</f>
        <v>882.73499038925763</v>
      </c>
      <c r="BL10" s="54">
        <f>R50/1000</f>
        <v>0.53993457697631952</v>
      </c>
      <c r="BM10" s="51">
        <f>Q51/1000</f>
        <v>882.73499038925763</v>
      </c>
      <c r="BN10" s="54">
        <f>R51/1000</f>
        <v>0.53993457697631952</v>
      </c>
      <c r="BP10" s="30"/>
      <c r="BQ10" s="30"/>
      <c r="BR10" s="30"/>
      <c r="BS10" s="31"/>
      <c r="BT10" s="31"/>
      <c r="BU10" s="32"/>
    </row>
    <row r="11" spans="1:73">
      <c r="A11" s="699"/>
      <c r="B11" s="23"/>
      <c r="C11" s="17" t="s">
        <v>183</v>
      </c>
      <c r="D11" s="57"/>
      <c r="E11" s="2"/>
      <c r="F11" s="2"/>
      <c r="G11" s="63"/>
      <c r="H11" s="2"/>
      <c r="I11" s="20"/>
      <c r="J11" s="21"/>
      <c r="K11" s="21"/>
      <c r="L11" s="22"/>
      <c r="M11" s="2"/>
      <c r="N11" s="23"/>
      <c r="O11" s="19"/>
      <c r="P11" s="19"/>
      <c r="Q11" s="19"/>
      <c r="R11" s="33"/>
      <c r="T11" s="57"/>
      <c r="U11" s="2"/>
      <c r="V11" s="2"/>
      <c r="W11" s="199">
        <f>[2]SA!P44</f>
        <v>300</v>
      </c>
      <c r="X11" s="198"/>
      <c r="Y11" s="198"/>
      <c r="Z11" s="198"/>
      <c r="AA11" s="274"/>
      <c r="AB11" s="21"/>
      <c r="AC11" s="21"/>
      <c r="AD11" s="21"/>
      <c r="AE11" s="21"/>
      <c r="AF11" s="70"/>
      <c r="AG11" s="20"/>
      <c r="AH11" s="21"/>
      <c r="AI11" s="21"/>
      <c r="AJ11" s="22">
        <f t="shared" si="0"/>
        <v>300</v>
      </c>
      <c r="AK11" s="29">
        <f>AJ11/[2]Popn!$F$43*1000</f>
        <v>0.18349830340526976</v>
      </c>
      <c r="AL11" s="19"/>
      <c r="AM11" s="57"/>
      <c r="AN11" s="2"/>
      <c r="AO11" s="2"/>
      <c r="AP11" s="63"/>
      <c r="AQ11" s="68"/>
      <c r="AR11" s="21"/>
      <c r="AS11" s="21"/>
      <c r="AT11" s="21"/>
      <c r="AU11" s="25"/>
      <c r="AV11" s="21"/>
      <c r="AW11" s="22"/>
      <c r="AX11" s="2"/>
      <c r="AY11" s="23"/>
      <c r="AZ11" s="19"/>
      <c r="BA11" s="19"/>
      <c r="BB11" s="19"/>
      <c r="BC11" s="24"/>
      <c r="BD11" s="30"/>
      <c r="BG11" s="77" t="s">
        <v>68</v>
      </c>
      <c r="BH11" s="52">
        <f>AG50/1000</f>
        <v>437.98461538461544</v>
      </c>
      <c r="BI11" s="52">
        <f>AH50/1000</f>
        <v>1194.5034965034965</v>
      </c>
      <c r="BJ11" s="52">
        <f>AI50/1000</f>
        <v>1214.4118881118879</v>
      </c>
      <c r="BK11" s="53">
        <f>AJ50/1000</f>
        <v>2846.9</v>
      </c>
      <c r="BL11" s="54">
        <f>AK50/1000</f>
        <v>1.7413377332148747</v>
      </c>
      <c r="BM11" s="51">
        <f>AJ51/1000</f>
        <v>3046.9</v>
      </c>
      <c r="BN11" s="54">
        <f>AK51/1000</f>
        <v>1.8636699354850546</v>
      </c>
    </row>
    <row r="12" spans="1:73" s="106" customFormat="1">
      <c r="A12" s="699"/>
      <c r="B12" s="107" t="s">
        <v>67</v>
      </c>
      <c r="C12" s="108"/>
      <c r="D12" s="109"/>
      <c r="E12" s="110"/>
      <c r="F12" s="110"/>
      <c r="G12" s="63"/>
      <c r="H12" s="110"/>
      <c r="I12" s="112">
        <f>D50*[2]SA!$L$360</f>
        <v>10093.838939257406</v>
      </c>
      <c r="J12" s="113">
        <f>(E50-G45)*[2]SA!L$225</f>
        <v>9106.1896531219063</v>
      </c>
      <c r="K12" s="113">
        <f>F50*[2]SA!M$225</f>
        <v>117534.81675392672</v>
      </c>
      <c r="L12" s="114">
        <f>SUM(I12:K12)</f>
        <v>136734.84534630604</v>
      </c>
      <c r="M12" s="110"/>
      <c r="N12" s="112">
        <f>I12-AU12</f>
        <v>10093.838939257406</v>
      </c>
      <c r="O12" s="113">
        <f>J12-AV12</f>
        <v>9106.1896531219063</v>
      </c>
      <c r="P12" s="113">
        <f>K12-AW12</f>
        <v>117534.81675392672</v>
      </c>
      <c r="Q12" s="114">
        <f>SUM(N12:P12)</f>
        <v>136734.84534630604</v>
      </c>
      <c r="R12" s="115">
        <f>Q12/[2]Popn!$F$43*1000</f>
        <v>83.635373791430354</v>
      </c>
      <c r="T12" s="109"/>
      <c r="U12" s="110"/>
      <c r="V12" s="110"/>
      <c r="W12" s="203">
        <f>SUM(W7:W11)</f>
        <v>1137100</v>
      </c>
      <c r="X12" s="130"/>
      <c r="Y12" s="130"/>
      <c r="Z12" s="130"/>
      <c r="AA12" s="276"/>
      <c r="AB12" s="113"/>
      <c r="AC12" s="113"/>
      <c r="AD12" s="113"/>
      <c r="AE12" s="113"/>
      <c r="AF12" s="117"/>
      <c r="AG12" s="112"/>
      <c r="AH12" s="113"/>
      <c r="AI12" s="113"/>
      <c r="AJ12" s="114">
        <f t="shared" si="0"/>
        <v>1137100</v>
      </c>
      <c r="AK12" s="118">
        <f>SUM(AK7:AK11)</f>
        <v>695.51973600710755</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40.059357907024051</v>
      </c>
      <c r="BI12" s="52">
        <f>AZ50/1000</f>
        <v>74.236471964451013</v>
      </c>
      <c r="BJ12" s="52">
        <f>BA50/1000</f>
        <v>21.914021923261469</v>
      </c>
      <c r="BK12" s="53">
        <f>BB50/1000</f>
        <v>136.20985179473655</v>
      </c>
      <c r="BL12" s="54">
        <f>BC50/1000</f>
        <v>8.3314255704724643E-2</v>
      </c>
      <c r="BM12" s="51">
        <f>BB51/1000</f>
        <v>136.20985179473655</v>
      </c>
      <c r="BN12" s="54">
        <f>BC51/1000</f>
        <v>8.3314255704724643E-2</v>
      </c>
      <c r="BO12" s="6"/>
    </row>
    <row r="13" spans="1:73">
      <c r="A13" s="699"/>
      <c r="B13" s="23" t="s">
        <v>4</v>
      </c>
      <c r="C13" s="17" t="s">
        <v>19</v>
      </c>
      <c r="D13" s="57"/>
      <c r="E13" s="2"/>
      <c r="F13" s="2"/>
      <c r="G13" s="63"/>
      <c r="H13" s="2"/>
      <c r="I13" s="20"/>
      <c r="J13" s="21"/>
      <c r="K13" s="21"/>
      <c r="L13" s="22"/>
      <c r="M13" s="2"/>
      <c r="N13" s="23"/>
      <c r="O13" s="19"/>
      <c r="P13" s="19"/>
      <c r="Q13" s="19"/>
      <c r="R13" s="33"/>
      <c r="T13" s="57"/>
      <c r="U13" s="2"/>
      <c r="V13" s="2"/>
      <c r="W13" s="199">
        <f>[2]SA!P45</f>
        <v>391000</v>
      </c>
      <c r="X13" s="198"/>
      <c r="Y13" s="198"/>
      <c r="Z13" s="198"/>
      <c r="AA13" s="274"/>
      <c r="AB13" s="21"/>
      <c r="AC13" s="21"/>
      <c r="AD13" s="21"/>
      <c r="AE13" s="21"/>
      <c r="AF13" s="70"/>
      <c r="AG13" s="20"/>
      <c r="AH13" s="21"/>
      <c r="AI13" s="21"/>
      <c r="AJ13" s="22">
        <f t="shared" si="0"/>
        <v>391000</v>
      </c>
      <c r="AK13" s="29">
        <f>AJ13/[2]Popn!$F$43*1000</f>
        <v>239.1594554382016</v>
      </c>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1">SUM(BH11:BH12)/BH14</f>
        <v>0.60895411930163024</v>
      </c>
      <c r="BI13" s="86">
        <f t="shared" si="1"/>
        <v>0.88558127680672083</v>
      </c>
      <c r="BJ13" s="86">
        <f t="shared" si="1"/>
        <v>0.75012642141940022</v>
      </c>
      <c r="BK13" s="87">
        <f t="shared" si="1"/>
        <v>0.77165793599451349</v>
      </c>
      <c r="BL13" s="87">
        <f t="shared" si="1"/>
        <v>0.77165793599451349</v>
      </c>
      <c r="BM13" s="88">
        <f t="shared" si="1"/>
        <v>0.78289014346275665</v>
      </c>
      <c r="BN13" s="87">
        <f t="shared" si="1"/>
        <v>0.78289014346275665</v>
      </c>
    </row>
    <row r="14" spans="1:73">
      <c r="A14" s="699"/>
      <c r="B14" s="23"/>
      <c r="C14" s="17" t="s">
        <v>20</v>
      </c>
      <c r="D14" s="57"/>
      <c r="E14" s="2"/>
      <c r="F14" s="2"/>
      <c r="G14" s="63"/>
      <c r="H14" s="2"/>
      <c r="I14" s="20"/>
      <c r="J14" s="21"/>
      <c r="K14" s="21"/>
      <c r="L14" s="22"/>
      <c r="M14" s="2"/>
      <c r="N14" s="23"/>
      <c r="O14" s="19"/>
      <c r="P14" s="19"/>
      <c r="Q14" s="19"/>
      <c r="R14" s="33"/>
      <c r="T14" s="57"/>
      <c r="U14" s="2"/>
      <c r="V14" s="2"/>
      <c r="W14" s="199">
        <f>[2]SA!P46</f>
        <v>19400</v>
      </c>
      <c r="X14" s="198"/>
      <c r="Y14" s="198"/>
      <c r="Z14" s="198"/>
      <c r="AA14" s="274"/>
      <c r="AB14" s="21"/>
      <c r="AC14" s="21"/>
      <c r="AD14" s="21"/>
      <c r="AE14" s="21"/>
      <c r="AF14" s="70"/>
      <c r="AG14" s="20"/>
      <c r="AH14" s="21"/>
      <c r="AI14" s="21"/>
      <c r="AJ14" s="22">
        <f t="shared" si="0"/>
        <v>19400</v>
      </c>
      <c r="AK14" s="29">
        <f>AJ14/[2]Popn!$F$43*1000</f>
        <v>11.866223620207444</v>
      </c>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2">SUM(BH10:BH12)</f>
        <v>785.02461538461546</v>
      </c>
      <c r="BI14" s="52">
        <f t="shared" si="2"/>
        <v>1432.6634965034966</v>
      </c>
      <c r="BJ14" s="52">
        <f t="shared" si="2"/>
        <v>1648.156730295882</v>
      </c>
      <c r="BK14" s="74">
        <f>SUM(BK10:BK12)</f>
        <v>3865.8448421839944</v>
      </c>
      <c r="BL14" s="76">
        <f t="shared" si="2"/>
        <v>2.3645865658959186</v>
      </c>
      <c r="BM14" s="81">
        <f t="shared" si="2"/>
        <v>4065.8448421839944</v>
      </c>
      <c r="BN14" s="76">
        <f t="shared" si="2"/>
        <v>2.4869187681660989</v>
      </c>
    </row>
    <row r="15" spans="1:73">
      <c r="A15" s="699"/>
      <c r="B15" s="23"/>
      <c r="C15" s="17" t="s">
        <v>21</v>
      </c>
      <c r="D15" s="57"/>
      <c r="E15" s="2"/>
      <c r="F15" s="2"/>
      <c r="G15" s="63"/>
      <c r="H15" s="2"/>
      <c r="I15" s="20"/>
      <c r="J15" s="21"/>
      <c r="K15" s="21"/>
      <c r="L15" s="22"/>
      <c r="M15" s="2"/>
      <c r="N15" s="23"/>
      <c r="O15" s="19"/>
      <c r="P15" s="19"/>
      <c r="Q15" s="19"/>
      <c r="R15" s="33"/>
      <c r="T15" s="57"/>
      <c r="U15" s="2"/>
      <c r="V15" s="2"/>
      <c r="W15" s="199">
        <f>[2]SA!P47</f>
        <v>31100</v>
      </c>
      <c r="X15" s="198"/>
      <c r="Y15" s="198"/>
      <c r="Z15" s="198"/>
      <c r="AA15" s="274"/>
      <c r="AB15" s="21"/>
      <c r="AC15" s="21"/>
      <c r="AD15" s="21"/>
      <c r="AE15" s="21"/>
      <c r="AF15" s="70"/>
      <c r="AG15" s="20"/>
      <c r="AH15" s="21"/>
      <c r="AI15" s="21"/>
      <c r="AJ15" s="22">
        <f t="shared" si="0"/>
        <v>31100</v>
      </c>
      <c r="AK15" s="29">
        <f>AJ15/[2]Popn!$F$43*1000</f>
        <v>19.022657453012965</v>
      </c>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63"/>
      <c r="H16" s="110"/>
      <c r="I16" s="112">
        <f>D50*[2]SA!$L$361</f>
        <v>15948.361255677954</v>
      </c>
      <c r="J16" s="113">
        <f>(E50-G45)*[2]SA!L$226</f>
        <v>3382.0313423631765</v>
      </c>
      <c r="K16" s="113">
        <f>F50*[2]SA!M$226</f>
        <v>8813.8945400149587</v>
      </c>
      <c r="L16" s="114">
        <f>SUM(I16:K16)</f>
        <v>28144.28713805609</v>
      </c>
      <c r="M16" s="110"/>
      <c r="N16" s="112">
        <f>I16-AU16</f>
        <v>15948.361255677954</v>
      </c>
      <c r="O16" s="113">
        <f>J16-AV16</f>
        <v>3382.0313423631765</v>
      </c>
      <c r="P16" s="113">
        <f>K16-AW16</f>
        <v>8813.8945400149587</v>
      </c>
      <c r="Q16" s="114">
        <f>SUM(N16:P16)</f>
        <v>28144.28713805609</v>
      </c>
      <c r="R16" s="115">
        <f>Q16/[2]Popn!$F$43*1000</f>
        <v>17.214763134613492</v>
      </c>
      <c r="T16" s="109"/>
      <c r="U16" s="110"/>
      <c r="V16" s="110"/>
      <c r="W16" s="203">
        <f>SUM(W13:W15)</f>
        <v>441500</v>
      </c>
      <c r="X16" s="130"/>
      <c r="Y16" s="130"/>
      <c r="Z16" s="130"/>
      <c r="AA16" s="276"/>
      <c r="AB16" s="113"/>
      <c r="AC16" s="113"/>
      <c r="AD16" s="113"/>
      <c r="AE16" s="113"/>
      <c r="AF16" s="117"/>
      <c r="AG16" s="112"/>
      <c r="AH16" s="113"/>
      <c r="AI16" s="113"/>
      <c r="AJ16" s="114">
        <f t="shared" si="0"/>
        <v>441500</v>
      </c>
      <c r="AK16" s="118">
        <f>SUM(AK13:AK15)</f>
        <v>270.04833651142201</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57"/>
      <c r="E17" s="2"/>
      <c r="F17" s="2"/>
      <c r="G17" s="63"/>
      <c r="H17" s="2"/>
      <c r="I17" s="20">
        <f>D50*[2]SA!$L$362</f>
        <v>152745.16799382091</v>
      </c>
      <c r="J17" s="21"/>
      <c r="K17" s="21"/>
      <c r="L17" s="22"/>
      <c r="M17" s="2"/>
      <c r="N17" s="20"/>
      <c r="O17" s="21"/>
      <c r="P17" s="21"/>
      <c r="Q17" s="21"/>
      <c r="R17" s="34"/>
      <c r="T17" s="57"/>
      <c r="U17" s="2"/>
      <c r="V17" s="2"/>
      <c r="W17" s="199">
        <f>[2]SA!P48</f>
        <v>4400</v>
      </c>
      <c r="X17" s="198"/>
      <c r="Y17" s="198"/>
      <c r="Z17" s="198"/>
      <c r="AA17" s="274"/>
      <c r="AB17" s="21"/>
      <c r="AC17" s="21"/>
      <c r="AD17" s="21"/>
      <c r="AE17" s="21"/>
      <c r="AF17" s="70"/>
      <c r="AG17" s="20"/>
      <c r="AH17" s="21"/>
      <c r="AI17" s="21"/>
      <c r="AJ17" s="22">
        <f t="shared" si="0"/>
        <v>4400</v>
      </c>
      <c r="AK17" s="29">
        <f>AJ17/[2]Popn!$F$43*1000</f>
        <v>2.6913084499439566</v>
      </c>
      <c r="AL17" s="19"/>
      <c r="AM17" s="57"/>
      <c r="AN17" s="2"/>
      <c r="AO17" s="2"/>
      <c r="AP17" s="63"/>
      <c r="AQ17" s="70"/>
      <c r="AR17" s="21">
        <f>L22*'[2]Lfill en &amp; composn'!$F$82/SUM('[2]Lfill en &amp; composn'!$F$82,'[2]Lfill en &amp; composn'!$F$84:$F$85,'[2]Lfill en &amp; composn'!$F$87:$F$88)*'[2]Lfill en &amp; composn'!$D$16</f>
        <v>29133.176670921956</v>
      </c>
      <c r="AS17" s="35">
        <f>AR17/SUM($AR$7:$AR$49)</f>
        <v>0.40951920873029884</v>
      </c>
      <c r="AT17" s="21">
        <f>AS17*'[2]Lfill en &amp; composn'!$F$64/'[2]Lfill en &amp; composn'!$B$16</f>
        <v>47504.602271463831</v>
      </c>
      <c r="AU17" s="25"/>
      <c r="AV17" s="21"/>
      <c r="AW17" s="22"/>
      <c r="AX17" s="82"/>
      <c r="AY17" s="20"/>
      <c r="AZ17" s="21"/>
      <c r="BA17" s="21"/>
      <c r="BB17" s="21"/>
      <c r="BC17" s="29"/>
      <c r="BD17" s="30"/>
      <c r="BJ17" s="427" t="s">
        <v>138</v>
      </c>
      <c r="BK17" s="428" t="str">
        <f>IF(SUM(BH11:BJ11)=BK11,"OK","Problem")</f>
        <v>OK</v>
      </c>
    </row>
    <row r="18" spans="1:67">
      <c r="A18" s="699"/>
      <c r="B18" s="23"/>
      <c r="C18" s="17" t="s">
        <v>23</v>
      </c>
      <c r="D18" s="57"/>
      <c r="E18" s="2"/>
      <c r="F18" s="2"/>
      <c r="G18" s="63"/>
      <c r="H18" s="2"/>
      <c r="I18" s="20">
        <f>D50*[2]SA!$L$363</f>
        <v>27955.237692406718</v>
      </c>
      <c r="J18" s="21"/>
      <c r="K18" s="21"/>
      <c r="L18" s="22"/>
      <c r="M18" s="2"/>
      <c r="N18" s="20"/>
      <c r="O18" s="21"/>
      <c r="P18" s="21"/>
      <c r="Q18" s="21"/>
      <c r="R18" s="34"/>
      <c r="T18" s="57"/>
      <c r="U18" s="2"/>
      <c r="V18" s="2"/>
      <c r="W18" s="199">
        <f>[2]SA!P49</f>
        <v>230000</v>
      </c>
      <c r="X18" s="198"/>
      <c r="Y18" s="198"/>
      <c r="Z18" s="198"/>
      <c r="AA18" s="274"/>
      <c r="AB18" s="21"/>
      <c r="AC18" s="21"/>
      <c r="AD18" s="21"/>
      <c r="AE18" s="21"/>
      <c r="AF18" s="70"/>
      <c r="AG18" s="20"/>
      <c r="AH18" s="21"/>
      <c r="AI18" s="21"/>
      <c r="AJ18" s="22">
        <f t="shared" si="0"/>
        <v>230000</v>
      </c>
      <c r="AK18" s="29">
        <f>AJ18/[2]Popn!$F$43*1000</f>
        <v>140.68203261070684</v>
      </c>
      <c r="AL18" s="19"/>
      <c r="AM18" s="57"/>
      <c r="AN18" s="2"/>
      <c r="AO18" s="2"/>
      <c r="AP18" s="63"/>
      <c r="AQ18" s="68"/>
      <c r="AR18" s="21">
        <f>L22*'[2]Lfill en &amp; composn'!$F$84/SUM('[2]Lfill en &amp; composn'!$F$82,'[2]Lfill en &amp; composn'!$F$84:$F$85,'[2]Lfill en &amp; composn'!$F$87:$F$88)*'[2]Lfill en &amp; composn'!$D$18</f>
        <v>9899.9393113796959</v>
      </c>
      <c r="AS18" s="35">
        <f>AR18/SUM($AR$7:$AR$49)</f>
        <v>0.1391614570243806</v>
      </c>
      <c r="AT18" s="21">
        <f>AS18*'[2]Lfill en &amp; composn'!$F$64/'[2]Lfill en &amp; composn'!$B$18</f>
        <v>12107.142094672205</v>
      </c>
      <c r="AU18" s="25"/>
      <c r="AV18" s="21"/>
      <c r="AW18" s="22"/>
      <c r="AX18" s="2"/>
      <c r="AY18" s="20"/>
      <c r="AZ18" s="21"/>
      <c r="BA18" s="21"/>
      <c r="BB18" s="21"/>
      <c r="BC18" s="29"/>
      <c r="BD18" s="36"/>
    </row>
    <row r="19" spans="1:67">
      <c r="A19" s="699"/>
      <c r="B19" s="23"/>
      <c r="C19" s="17" t="s">
        <v>24</v>
      </c>
      <c r="D19" s="57"/>
      <c r="E19" s="2"/>
      <c r="F19" s="2"/>
      <c r="G19" s="63"/>
      <c r="H19" s="2"/>
      <c r="I19" s="20">
        <f>D50*[2]SA!$L$364</f>
        <v>9693.8933740368138</v>
      </c>
      <c r="J19" s="21"/>
      <c r="K19" s="21"/>
      <c r="L19" s="22"/>
      <c r="M19" s="2"/>
      <c r="N19" s="20"/>
      <c r="O19" s="21"/>
      <c r="P19" s="21"/>
      <c r="Q19" s="21"/>
      <c r="R19" s="34"/>
      <c r="T19" s="57"/>
      <c r="U19" s="2"/>
      <c r="V19" s="2"/>
      <c r="W19" s="199">
        <f>[2]SA!P50</f>
        <v>280000</v>
      </c>
      <c r="X19" s="198"/>
      <c r="Y19" s="198"/>
      <c r="Z19" s="198"/>
      <c r="AA19" s="274"/>
      <c r="AB19" s="21"/>
      <c r="AC19" s="21"/>
      <c r="AD19" s="21"/>
      <c r="AE19" s="21"/>
      <c r="AF19" s="70"/>
      <c r="AG19" s="20"/>
      <c r="AH19" s="21"/>
      <c r="AI19" s="21"/>
      <c r="AJ19" s="22">
        <f t="shared" si="0"/>
        <v>280000</v>
      </c>
      <c r="AK19" s="29">
        <f>AJ19/[2]Popn!$F$43*1000</f>
        <v>171.26508317825179</v>
      </c>
      <c r="AL19" s="19"/>
      <c r="AM19" s="57"/>
      <c r="AN19" s="198">
        <f>[2]SA!$M$161*[2]SA!$M$157</f>
        <v>33000</v>
      </c>
      <c r="AO19" s="2"/>
      <c r="AP19" s="63"/>
      <c r="AQ19" s="70"/>
      <c r="AR19" s="21">
        <f>L22*'[2]Lfill en &amp; composn'!$F$85/SUM('[2]Lfill en &amp; composn'!$F$82,'[2]Lfill en &amp; composn'!$F$84:$F$85,'[2]Lfill en &amp; composn'!$F$87:$F$88)*'[2]Lfill en &amp; composn'!$D$19</f>
        <v>7448.8105103048429</v>
      </c>
      <c r="AS19" s="35">
        <f>AR19/SUM($AR$7:$AR$49)</f>
        <v>0.10470643214156014</v>
      </c>
      <c r="AT19" s="21">
        <f>AS19*'[2]Lfill en &amp; composn'!$F$64/'[2]Lfill en &amp; composn'!$B$19</f>
        <v>4236.9913145142737</v>
      </c>
      <c r="AU19" s="25"/>
      <c r="AV19" s="21"/>
      <c r="AW19" s="22"/>
      <c r="AX19" s="2"/>
      <c r="AY19" s="20"/>
      <c r="AZ19" s="21">
        <f>AN19</f>
        <v>33000</v>
      </c>
      <c r="BA19" s="21"/>
      <c r="BB19" s="21"/>
      <c r="BC19" s="29"/>
    </row>
    <row r="20" spans="1:67">
      <c r="A20" s="699"/>
      <c r="B20" s="23"/>
      <c r="C20" s="17" t="s">
        <v>25</v>
      </c>
      <c r="D20" s="57"/>
      <c r="E20" s="2"/>
      <c r="F20" s="2"/>
      <c r="G20" s="63"/>
      <c r="H20" s="2"/>
      <c r="I20" s="20">
        <f>D50*[2]SA!$L$365</f>
        <v>21171.586516358017</v>
      </c>
      <c r="J20" s="21"/>
      <c r="K20" s="21"/>
      <c r="L20" s="22"/>
      <c r="M20" s="2"/>
      <c r="N20" s="20"/>
      <c r="O20" s="21"/>
      <c r="P20" s="21"/>
      <c r="Q20" s="21"/>
      <c r="R20" s="34"/>
      <c r="T20" s="57"/>
      <c r="U20" s="2"/>
      <c r="V20" s="2"/>
      <c r="W20" s="199">
        <f>[2]SA!V51</f>
        <v>370000</v>
      </c>
      <c r="X20" s="198"/>
      <c r="Y20" s="198"/>
      <c r="Z20" s="198"/>
      <c r="AA20" s="274"/>
      <c r="AB20" s="21"/>
      <c r="AC20" s="21"/>
      <c r="AD20" s="21"/>
      <c r="AE20" s="21"/>
      <c r="AF20" s="70"/>
      <c r="AG20" s="20"/>
      <c r="AH20" s="21"/>
      <c r="AI20" s="21"/>
      <c r="AJ20" s="22">
        <f t="shared" si="0"/>
        <v>370000</v>
      </c>
      <c r="AK20" s="29">
        <f>AJ20/[2]Popn!$F$43*1000</f>
        <v>226.31457419983272</v>
      </c>
      <c r="AL20" s="19"/>
      <c r="AM20" s="57"/>
      <c r="AN20" s="198"/>
      <c r="AO20" s="2"/>
      <c r="AP20" s="63"/>
      <c r="AQ20" s="68"/>
      <c r="AR20" s="21">
        <f>L22*'[2]Lfill en &amp; composn'!$F$93/SUM('[2]Lfill en &amp; composn'!$F$82,'[2]Lfill en &amp; composn'!$F$84:$F$85,'[2]Lfill en &amp; composn'!$F$87:$F$88)*'[2]Lfill en &amp; composn'!$D$24</f>
        <v>2394.6101805800827</v>
      </c>
      <c r="AS20" s="35">
        <f>AR20/SUM($AR$7:$AR$49)</f>
        <v>3.3660553994698993E-2</v>
      </c>
      <c r="AT20" s="21">
        <f>AS20*'[2]Lfill en &amp; composn'!$F$64/'[2]Lfill en &amp; composn'!$B$24</f>
        <v>2440.4093807849904</v>
      </c>
      <c r="AU20" s="25"/>
      <c r="AV20" s="21"/>
      <c r="AW20" s="22"/>
      <c r="AX20" s="83"/>
      <c r="AY20" s="20"/>
      <c r="AZ20" s="21"/>
      <c r="BA20" s="21"/>
      <c r="BB20" s="21"/>
      <c r="BC20" s="29"/>
    </row>
    <row r="21" spans="1:67">
      <c r="A21" s="699"/>
      <c r="B21" s="23"/>
      <c r="C21" s="17" t="s">
        <v>0</v>
      </c>
      <c r="D21" s="57"/>
      <c r="E21" s="2"/>
      <c r="F21" s="2"/>
      <c r="G21" s="63"/>
      <c r="H21" s="198">
        <f>[2]Biosolids!$F$192</f>
        <v>0</v>
      </c>
      <c r="I21" s="20">
        <f>D50*[2]SA!$L$366</f>
        <v>0</v>
      </c>
      <c r="J21" s="21"/>
      <c r="K21" s="21"/>
      <c r="L21" s="22"/>
      <c r="M21" s="2"/>
      <c r="N21" s="23"/>
      <c r="O21" s="19"/>
      <c r="P21" s="19"/>
      <c r="Q21" s="19"/>
      <c r="R21" s="34"/>
      <c r="T21" s="57"/>
      <c r="U21" s="2"/>
      <c r="V21" s="2"/>
      <c r="W21" s="199">
        <f>[2]SA!V52</f>
        <v>70000</v>
      </c>
      <c r="X21" s="198"/>
      <c r="Y21" s="198"/>
      <c r="Z21" s="198"/>
      <c r="AA21" s="278">
        <f>[2]Biosolids!$F$191</f>
        <v>106222</v>
      </c>
      <c r="AB21" s="21"/>
      <c r="AC21" s="21"/>
      <c r="AD21" s="21"/>
      <c r="AE21" s="21"/>
      <c r="AF21" s="355"/>
      <c r="AG21" s="20"/>
      <c r="AH21" s="21"/>
      <c r="AI21" s="21"/>
      <c r="AJ21" s="22">
        <f t="shared" si="0"/>
        <v>70000</v>
      </c>
      <c r="AK21" s="29">
        <f>AJ21/[2]Popn!$F$43*1000</f>
        <v>42.816270794562946</v>
      </c>
      <c r="AL21" s="19"/>
      <c r="AM21" s="57"/>
      <c r="AN21" s="198"/>
      <c r="AO21" s="2"/>
      <c r="AP21" s="63"/>
      <c r="AQ21" s="68"/>
      <c r="AR21" s="21">
        <f>L22*'[2]Lfill en &amp; composn'!$F$87/SUM('[2]Lfill en &amp; composn'!$F$82,'[2]Lfill en &amp; composn'!$F$84:$F$85,'[2]Lfill en &amp; composn'!$F$87:$F$88)*'[2]Lfill en &amp; composn'!$D$21</f>
        <v>98.736096855515569</v>
      </c>
      <c r="AS21" s="35">
        <f>AR21/SUM($AR$7:$AR$49)</f>
        <v>1.38791346766337E-3</v>
      </c>
      <c r="AT21" s="21">
        <f>AS21*'[2]Lfill en &amp; composn'!$F$64/'[2]Lfill en &amp; composn'!$B$21</f>
        <v>482.99768994702936</v>
      </c>
      <c r="AU21" s="25"/>
      <c r="AV21" s="21"/>
      <c r="AW21" s="22"/>
      <c r="AX21" s="2"/>
      <c r="AY21" s="23"/>
      <c r="AZ21" s="19"/>
      <c r="BA21" s="19"/>
      <c r="BB21" s="21"/>
      <c r="BC21" s="24"/>
    </row>
    <row r="22" spans="1:67" s="106" customFormat="1">
      <c r="A22" s="699"/>
      <c r="B22" s="107" t="s">
        <v>67</v>
      </c>
      <c r="C22" s="108"/>
      <c r="D22" s="109"/>
      <c r="E22" s="110"/>
      <c r="F22" s="110"/>
      <c r="G22" s="63"/>
      <c r="H22" s="110"/>
      <c r="I22" s="112">
        <f>SUM(I17:I21)</f>
        <v>211565.88557662247</v>
      </c>
      <c r="J22" s="113">
        <f>(E50-G45)*[2]SA!L$227</f>
        <v>91080.633546966201</v>
      </c>
      <c r="K22" s="113">
        <f>F50*[2]SA!M$227</f>
        <v>133108.78833208678</v>
      </c>
      <c r="L22" s="114">
        <f>SUM(I22:K22)</f>
        <v>435755.30745567544</v>
      </c>
      <c r="M22" s="110"/>
      <c r="N22" s="112">
        <f>I22-AU22</f>
        <v>179146.98609028218</v>
      </c>
      <c r="O22" s="113">
        <f>J22-AV22</f>
        <v>77124.064433455205</v>
      </c>
      <c r="P22" s="113">
        <f>K22-AW22</f>
        <v>112712.11418055576</v>
      </c>
      <c r="Q22" s="114">
        <f>SUM(N22:P22)</f>
        <v>368983.16470429313</v>
      </c>
      <c r="R22" s="115">
        <f>Q22/[2]Popn!$F$43*1000</f>
        <v>225.69261569448335</v>
      </c>
      <c r="T22" s="109"/>
      <c r="U22" s="110"/>
      <c r="V22" s="110"/>
      <c r="W22" s="203">
        <f>SUM(W17:W21)</f>
        <v>954400</v>
      </c>
      <c r="X22" s="130"/>
      <c r="Y22" s="130"/>
      <c r="Z22" s="130"/>
      <c r="AA22" s="276"/>
      <c r="AB22" s="113"/>
      <c r="AC22" s="113"/>
      <c r="AD22" s="113"/>
      <c r="AE22" s="113"/>
      <c r="AF22" s="117"/>
      <c r="AG22" s="112"/>
      <c r="AH22" s="113"/>
      <c r="AI22" s="113"/>
      <c r="AJ22" s="114">
        <f t="shared" si="0"/>
        <v>954400</v>
      </c>
      <c r="AK22" s="118">
        <f>SUM(AK17:AK21)</f>
        <v>583.76926923329825</v>
      </c>
      <c r="AL22" s="119"/>
      <c r="AM22" s="109"/>
      <c r="AN22" s="130"/>
      <c r="AO22" s="110"/>
      <c r="AP22" s="111"/>
      <c r="AQ22" s="116"/>
      <c r="AR22" s="113"/>
      <c r="AS22" s="113"/>
      <c r="AT22" s="113">
        <f>SUM(AT17:AT21)</f>
        <v>66772.142751382329</v>
      </c>
      <c r="AU22" s="120">
        <f>$AT22*I22/SUM($I22:$K22)</f>
        <v>32418.899486340299</v>
      </c>
      <c r="AV22" s="113">
        <f>$AT22*J22/SUM($I22:$K22)</f>
        <v>13956.569113511001</v>
      </c>
      <c r="AW22" s="113">
        <f>$AT22*K22/SUM($I22:$K22)</f>
        <v>20396.674151531031</v>
      </c>
      <c r="AX22" s="116"/>
      <c r="AY22" s="241">
        <f>AU22</f>
        <v>32418.899486340299</v>
      </c>
      <c r="AZ22" s="242">
        <f>AV22+AZ19</f>
        <v>46956.569113511003</v>
      </c>
      <c r="BA22" s="242">
        <f>AW22</f>
        <v>20396.674151531031</v>
      </c>
      <c r="BB22" s="243">
        <f>SUM(AY22:BA22)</f>
        <v>99772.142751382329</v>
      </c>
      <c r="BC22" s="118">
        <f>BB22/[2]Popn!$F$43*1000</f>
        <v>61.026729739956806</v>
      </c>
      <c r="BD22" s="122"/>
      <c r="BG22" s="146"/>
      <c r="BH22" s="138" t="s">
        <v>72</v>
      </c>
      <c r="BI22" s="138" t="s">
        <v>68</v>
      </c>
      <c r="BJ22" s="138" t="s">
        <v>69</v>
      </c>
      <c r="BK22" s="138" t="s">
        <v>73</v>
      </c>
      <c r="BL22" s="245" t="s">
        <v>78</v>
      </c>
      <c r="BM22" s="6"/>
      <c r="BN22" s="6"/>
      <c r="BO22" s="6"/>
    </row>
    <row r="23" spans="1:67">
      <c r="A23" s="699"/>
      <c r="B23" s="23" t="s">
        <v>5</v>
      </c>
      <c r="C23" s="17" t="s">
        <v>26</v>
      </c>
      <c r="D23" s="57"/>
      <c r="E23" s="2"/>
      <c r="F23" s="2"/>
      <c r="G23" s="63"/>
      <c r="H23" s="2"/>
      <c r="I23" s="20"/>
      <c r="J23" s="21"/>
      <c r="K23" s="21"/>
      <c r="L23" s="22"/>
      <c r="M23" s="2"/>
      <c r="N23" s="23"/>
      <c r="O23" s="19"/>
      <c r="P23" s="19"/>
      <c r="Q23" s="19"/>
      <c r="R23" s="33"/>
      <c r="T23" s="57"/>
      <c r="U23" s="2"/>
      <c r="V23" s="2"/>
      <c r="W23" s="199">
        <f>[2]SA!P52</f>
        <v>154000</v>
      </c>
      <c r="X23" s="198"/>
      <c r="Y23" s="198"/>
      <c r="Z23" s="198"/>
      <c r="AA23" s="274"/>
      <c r="AB23" s="21"/>
      <c r="AC23" s="21"/>
      <c r="AD23" s="21"/>
      <c r="AE23" s="21"/>
      <c r="AF23" s="70"/>
      <c r="AG23" s="20"/>
      <c r="AH23" s="21"/>
      <c r="AI23" s="21"/>
      <c r="AJ23" s="22">
        <f t="shared" si="0"/>
        <v>154000</v>
      </c>
      <c r="AK23" s="29">
        <f>AJ23/[2]Popn!$F$43*1000</f>
        <v>94.195795748038478</v>
      </c>
      <c r="AL23" s="19"/>
      <c r="AM23" s="57"/>
      <c r="AN23" s="198"/>
      <c r="AO23" s="2"/>
      <c r="AP23" s="63"/>
      <c r="AQ23" s="68"/>
      <c r="AR23" s="21"/>
      <c r="AS23" s="21"/>
      <c r="AT23" s="21"/>
      <c r="AU23" s="240"/>
      <c r="AV23" s="19"/>
      <c r="AW23" s="19"/>
      <c r="AX23" s="68"/>
      <c r="AY23" s="238"/>
      <c r="BB23" s="243"/>
      <c r="BC23" s="24"/>
      <c r="BG23" s="147" t="s">
        <v>3</v>
      </c>
      <c r="BH23" s="52">
        <f>Q12/1000</f>
        <v>136.73484534630603</v>
      </c>
      <c r="BI23" s="52">
        <f>AJ12/1000</f>
        <v>1137.0999999999999</v>
      </c>
      <c r="BJ23" s="52">
        <f>BB12/1000</f>
        <v>0</v>
      </c>
      <c r="BK23" s="137">
        <f>SUM(BI23:BJ23)/BL23</f>
        <v>0.89265889071425653</v>
      </c>
      <c r="BL23" s="52">
        <f>SUM(BH23:BJ23)</f>
        <v>1273.8348453463059</v>
      </c>
    </row>
    <row r="24" spans="1:67">
      <c r="A24" s="699"/>
      <c r="B24" s="23"/>
      <c r="C24" s="17" t="s">
        <v>27</v>
      </c>
      <c r="D24" s="57"/>
      <c r="E24" s="2"/>
      <c r="F24" s="2"/>
      <c r="G24" s="63"/>
      <c r="H24" s="2"/>
      <c r="I24" s="20"/>
      <c r="J24" s="21"/>
      <c r="K24" s="21"/>
      <c r="L24" s="22"/>
      <c r="M24" s="2"/>
      <c r="N24" s="23"/>
      <c r="O24" s="19"/>
      <c r="P24" s="19"/>
      <c r="Q24" s="19"/>
      <c r="R24" s="33"/>
      <c r="T24" s="57"/>
      <c r="U24" s="2"/>
      <c r="V24" s="2"/>
      <c r="W24" s="199">
        <f>[2]SA!P53</f>
        <v>3500</v>
      </c>
      <c r="X24" s="198"/>
      <c r="Y24" s="198"/>
      <c r="Z24" s="198"/>
      <c r="AA24" s="274"/>
      <c r="AB24" s="21"/>
      <c r="AC24" s="21"/>
      <c r="AD24" s="21"/>
      <c r="AE24" s="21"/>
      <c r="AF24" s="70"/>
      <c r="AG24" s="20"/>
      <c r="AH24" s="21"/>
      <c r="AI24" s="21"/>
      <c r="AJ24" s="22">
        <f t="shared" si="0"/>
        <v>3500</v>
      </c>
      <c r="AK24" s="29">
        <f>AJ24/[2]Popn!$F$43*1000</f>
        <v>2.1408135397281471</v>
      </c>
      <c r="AL24" s="19"/>
      <c r="AM24" s="57"/>
      <c r="AN24" s="198"/>
      <c r="AO24" s="2"/>
      <c r="AP24" s="63"/>
      <c r="AQ24" s="68"/>
      <c r="AR24" s="21"/>
      <c r="AS24" s="21"/>
      <c r="AT24" s="21"/>
      <c r="AU24" s="240"/>
      <c r="AV24" s="19"/>
      <c r="AW24" s="19"/>
      <c r="AX24" s="68"/>
      <c r="AY24" s="238"/>
      <c r="BB24" s="243"/>
      <c r="BC24" s="24"/>
      <c r="BG24" s="147" t="s">
        <v>4</v>
      </c>
      <c r="BH24" s="52">
        <f>Q16/1000</f>
        <v>28.14428713805609</v>
      </c>
      <c r="BI24" s="52">
        <f>AJ16/1000</f>
        <v>441.5</v>
      </c>
      <c r="BJ24" s="52">
        <f>BB16/1000</f>
        <v>0</v>
      </c>
      <c r="BK24" s="137">
        <f t="shared" ref="BK24:BK31" si="3">SUM(BI24:BJ24)/BL24</f>
        <v>0.94007318323924838</v>
      </c>
      <c r="BL24" s="52">
        <f t="shared" ref="BL24:BL31" si="4">SUM(BH24:BJ24)</f>
        <v>469.64428713805609</v>
      </c>
    </row>
    <row r="25" spans="1:67">
      <c r="A25" s="699"/>
      <c r="B25" s="23"/>
      <c r="C25" s="17" t="s">
        <v>28</v>
      </c>
      <c r="D25" s="57"/>
      <c r="E25" s="2"/>
      <c r="F25" s="2"/>
      <c r="G25" s="63"/>
      <c r="H25" s="2"/>
      <c r="I25" s="20"/>
      <c r="J25" s="21"/>
      <c r="K25" s="21"/>
      <c r="L25" s="22"/>
      <c r="M25" s="2"/>
      <c r="N25" s="23"/>
      <c r="O25" s="19"/>
      <c r="P25" s="19"/>
      <c r="Q25" s="19"/>
      <c r="R25" s="33"/>
      <c r="T25" s="57"/>
      <c r="U25" s="2"/>
      <c r="V25" s="2"/>
      <c r="W25" s="199">
        <f>[2]SA!P54</f>
        <v>40200</v>
      </c>
      <c r="X25" s="198"/>
      <c r="Y25" s="198"/>
      <c r="Z25" s="198"/>
      <c r="AA25" s="274"/>
      <c r="AB25" s="21"/>
      <c r="AC25" s="21"/>
      <c r="AD25" s="21"/>
      <c r="AE25" s="21"/>
      <c r="AF25" s="70"/>
      <c r="AG25" s="20"/>
      <c r="AH25" s="21"/>
      <c r="AI25" s="21"/>
      <c r="AJ25" s="22">
        <f t="shared" si="0"/>
        <v>40200</v>
      </c>
      <c r="AK25" s="29">
        <f>AJ25/[2]Popn!$F$43*1000</f>
        <v>24.588772656306151</v>
      </c>
      <c r="AL25" s="19"/>
      <c r="AM25" s="57"/>
      <c r="AN25" s="198"/>
      <c r="AO25" s="2"/>
      <c r="AP25" s="63"/>
      <c r="AQ25" s="68"/>
      <c r="AR25" s="21"/>
      <c r="AS25" s="21"/>
      <c r="AT25" s="21"/>
      <c r="AU25" s="240"/>
      <c r="AV25" s="19"/>
      <c r="AW25" s="19"/>
      <c r="AX25" s="68"/>
      <c r="AY25" s="238"/>
      <c r="BB25" s="243"/>
      <c r="BC25" s="24"/>
      <c r="BG25" s="147" t="s">
        <v>2</v>
      </c>
      <c r="BH25" s="52">
        <f>Q22/1000</f>
        <v>368.98316470429313</v>
      </c>
      <c r="BI25" s="52">
        <f>AJ22/1000</f>
        <v>954.4</v>
      </c>
      <c r="BJ25" s="52">
        <f>BB22/1000</f>
        <v>99.772142751382333</v>
      </c>
      <c r="BK25" s="137">
        <f t="shared" si="3"/>
        <v>0.74072881380461353</v>
      </c>
      <c r="BL25" s="52">
        <f t="shared" si="4"/>
        <v>1423.1553074556753</v>
      </c>
    </row>
    <row r="26" spans="1:67">
      <c r="A26" s="699"/>
      <c r="B26" s="23"/>
      <c r="C26" s="17" t="s">
        <v>29</v>
      </c>
      <c r="D26" s="57"/>
      <c r="E26" s="2"/>
      <c r="F26" s="2"/>
      <c r="G26" s="63"/>
      <c r="H26" s="2"/>
      <c r="I26" s="20"/>
      <c r="J26" s="21"/>
      <c r="K26" s="21"/>
      <c r="L26" s="22"/>
      <c r="M26" s="2"/>
      <c r="N26" s="23"/>
      <c r="O26" s="19"/>
      <c r="P26" s="19"/>
      <c r="Q26" s="19"/>
      <c r="R26" s="33"/>
      <c r="T26" s="57"/>
      <c r="U26" s="2"/>
      <c r="V26" s="2"/>
      <c r="W26" s="199">
        <f>[2]SA!P55</f>
        <v>13600</v>
      </c>
      <c r="X26" s="198"/>
      <c r="Y26" s="198"/>
      <c r="Z26" s="198"/>
      <c r="AA26" s="274"/>
      <c r="AB26" s="21"/>
      <c r="AC26" s="21"/>
      <c r="AD26" s="21"/>
      <c r="AE26" s="21"/>
      <c r="AF26" s="70"/>
      <c r="AG26" s="20"/>
      <c r="AH26" s="21"/>
      <c r="AI26" s="21"/>
      <c r="AJ26" s="22">
        <f t="shared" si="0"/>
        <v>13600</v>
      </c>
      <c r="AK26" s="29">
        <f>AJ26/[2]Popn!$F$43*1000</f>
        <v>8.3185897543722298</v>
      </c>
      <c r="AL26" s="19"/>
      <c r="AM26" s="57"/>
      <c r="AN26" s="198"/>
      <c r="AO26" s="2"/>
      <c r="AP26" s="63"/>
      <c r="AQ26" s="68"/>
      <c r="AR26" s="21"/>
      <c r="AS26" s="21"/>
      <c r="AT26" s="21"/>
      <c r="AU26" s="240"/>
      <c r="AV26" s="19"/>
      <c r="AW26" s="19"/>
      <c r="AX26" s="68"/>
      <c r="AY26" s="238"/>
      <c r="BB26" s="243"/>
      <c r="BC26" s="24"/>
      <c r="BG26" s="147" t="s">
        <v>5</v>
      </c>
      <c r="BH26" s="52">
        <f>Q27/1000</f>
        <v>75.458636241817516</v>
      </c>
      <c r="BI26" s="52">
        <f>AJ27/1000</f>
        <v>211.3</v>
      </c>
      <c r="BJ26" s="52">
        <f>BB27/1000</f>
        <v>10.27512355285244</v>
      </c>
      <c r="BK26" s="137">
        <f t="shared" si="3"/>
        <v>0.74595939433288772</v>
      </c>
      <c r="BL26" s="52">
        <f t="shared" si="4"/>
        <v>297.03375979466995</v>
      </c>
    </row>
    <row r="27" spans="1:67" s="106" customFormat="1">
      <c r="A27" s="699"/>
      <c r="B27" s="107" t="s">
        <v>67</v>
      </c>
      <c r="C27" s="108"/>
      <c r="D27" s="109"/>
      <c r="E27" s="110"/>
      <c r="F27" s="110"/>
      <c r="G27" s="63"/>
      <c r="H27" s="110"/>
      <c r="I27" s="112">
        <f>D50*[2]SA!$L$367</f>
        <v>49831.51553046325</v>
      </c>
      <c r="J27" s="113">
        <f>(E50-G45)*[2]SA!L$228</f>
        <v>31684.29362845502</v>
      </c>
      <c r="K27" s="113">
        <f>F50*[2]SA!M$228</f>
        <v>4217.950635751683</v>
      </c>
      <c r="L27" s="114">
        <f>SUM(I27:K27)</f>
        <v>85733.759794669953</v>
      </c>
      <c r="M27" s="110"/>
      <c r="N27" s="112">
        <f>I27-AU27</f>
        <v>43859.247661566784</v>
      </c>
      <c r="O27" s="113">
        <f>J27-AV27</f>
        <v>27886.956004432253</v>
      </c>
      <c r="P27" s="113">
        <f>K27-AW27</f>
        <v>3712.4325758184773</v>
      </c>
      <c r="Q27" s="114">
        <f>SUM(N27:P27)</f>
        <v>75458.636241817512</v>
      </c>
      <c r="R27" s="115">
        <f>Q27/[2]Popn!$F$43*1000</f>
        <v>46.155105758829713</v>
      </c>
      <c r="T27" s="109"/>
      <c r="U27" s="110"/>
      <c r="V27" s="110"/>
      <c r="W27" s="203">
        <f>SUM(W23:W26)</f>
        <v>211300</v>
      </c>
      <c r="X27" s="130"/>
      <c r="Y27" s="130"/>
      <c r="Z27" s="130"/>
      <c r="AA27" s="276"/>
      <c r="AB27" s="113"/>
      <c r="AC27" s="113"/>
      <c r="AD27" s="113"/>
      <c r="AE27" s="113"/>
      <c r="AF27" s="117"/>
      <c r="AG27" s="112"/>
      <c r="AH27" s="113"/>
      <c r="AI27" s="113"/>
      <c r="AJ27" s="114">
        <f t="shared" si="0"/>
        <v>211300</v>
      </c>
      <c r="AK27" s="118">
        <f>SUM(AK23:AK26)</f>
        <v>129.24397169844499</v>
      </c>
      <c r="AL27" s="119"/>
      <c r="AM27" s="109"/>
      <c r="AN27" s="130"/>
      <c r="AO27" s="110"/>
      <c r="AP27" s="111"/>
      <c r="AQ27" s="117"/>
      <c r="AR27" s="113">
        <f>L27*'[2]Lfill en &amp; composn'!$D$17</f>
        <v>16803.816919755311</v>
      </c>
      <c r="AS27" s="123">
        <f>AR27/SUM($AR$7:$AR$49)</f>
        <v>0.23620787689436784</v>
      </c>
      <c r="AT27" s="113">
        <f>AS27*'[2]Lfill en &amp; composn'!$F$64/'[2]Lfill en &amp; composn'!$B$17</f>
        <v>10275.123552852439</v>
      </c>
      <c r="AU27" s="120">
        <f>$AT27*I27/SUM($I27:$K27)</f>
        <v>5972.2678688964661</v>
      </c>
      <c r="AV27" s="113">
        <f>$AT27*J27/SUM($I27:$K27)</f>
        <v>3797.3376240227676</v>
      </c>
      <c r="AW27" s="113">
        <f>$AT27*K27/SUM($I27:$K27)</f>
        <v>505.51805993320585</v>
      </c>
      <c r="AX27" s="116"/>
      <c r="AY27" s="241">
        <f>AU27</f>
        <v>5972.2678688964661</v>
      </c>
      <c r="AZ27" s="242">
        <f>AV27</f>
        <v>3797.3376240227676</v>
      </c>
      <c r="BA27" s="242">
        <f>AW27</f>
        <v>505.51805993320585</v>
      </c>
      <c r="BB27" s="243">
        <f t="shared" ref="BB27:BB41" si="5">SUM(AY27:BA27)</f>
        <v>10275.123552852439</v>
      </c>
      <c r="BC27" s="118">
        <f>BB27/[2]Popn!$F$43*1000</f>
        <v>6.2848924640931676</v>
      </c>
      <c r="BD27" s="122"/>
      <c r="BG27" s="147" t="s">
        <v>6</v>
      </c>
      <c r="BH27" s="52">
        <f>Q37/1000</f>
        <v>57.623980223939348</v>
      </c>
      <c r="BI27" s="52">
        <f>AJ37/1000</f>
        <v>23.7</v>
      </c>
      <c r="BJ27" s="52">
        <f>BB37/1000</f>
        <v>16.5</v>
      </c>
      <c r="BK27" s="137">
        <f t="shared" si="3"/>
        <v>0.41094218317404257</v>
      </c>
      <c r="BL27" s="52">
        <f t="shared" si="4"/>
        <v>97.823980223939344</v>
      </c>
      <c r="BM27" s="6"/>
      <c r="BN27" s="6"/>
      <c r="BO27" s="6"/>
    </row>
    <row r="28" spans="1:67">
      <c r="A28" s="699"/>
      <c r="B28" s="23" t="s">
        <v>6</v>
      </c>
      <c r="C28" s="17" t="s">
        <v>30</v>
      </c>
      <c r="D28" s="57"/>
      <c r="E28" s="2"/>
      <c r="F28" s="2"/>
      <c r="G28" s="63"/>
      <c r="H28" s="2"/>
      <c r="I28" s="20"/>
      <c r="J28" s="21"/>
      <c r="K28" s="21"/>
      <c r="L28" s="22"/>
      <c r="M28" s="2"/>
      <c r="N28" s="23"/>
      <c r="O28" s="19"/>
      <c r="P28" s="19"/>
      <c r="Q28" s="19"/>
      <c r="R28" s="33"/>
      <c r="T28" s="57"/>
      <c r="U28" s="2"/>
      <c r="V28" s="2"/>
      <c r="W28" s="199">
        <f>[2]SA!P56</f>
        <v>4100</v>
      </c>
      <c r="X28" s="198"/>
      <c r="Y28" s="198"/>
      <c r="Z28" s="198"/>
      <c r="AA28" s="274"/>
      <c r="AB28" s="21"/>
      <c r="AC28" s="21"/>
      <c r="AD28" s="21"/>
      <c r="AE28" s="21"/>
      <c r="AF28" s="70"/>
      <c r="AG28" s="20"/>
      <c r="AH28" s="21"/>
      <c r="AI28" s="21"/>
      <c r="AJ28" s="22">
        <f t="shared" si="0"/>
        <v>4100</v>
      </c>
      <c r="AK28" s="29">
        <f>AJ28/[2]Popn!$F$43*1000</f>
        <v>2.5078101465386866</v>
      </c>
      <c r="AL28" s="19"/>
      <c r="AM28" s="57"/>
      <c r="AN28" s="198"/>
      <c r="AO28" s="2"/>
      <c r="AP28" s="63"/>
      <c r="AQ28" s="68"/>
      <c r="AR28" s="21"/>
      <c r="AS28" s="21"/>
      <c r="AT28" s="21"/>
      <c r="AU28" s="240"/>
      <c r="AV28" s="19"/>
      <c r="AW28" s="19"/>
      <c r="AX28" s="68"/>
      <c r="AY28" s="238"/>
      <c r="BB28" s="243"/>
      <c r="BC28" s="24"/>
      <c r="BG28" s="147" t="s">
        <v>8</v>
      </c>
      <c r="BH28" s="52">
        <f>Q38/1000</f>
        <v>15.943946842860193</v>
      </c>
      <c r="BI28" s="52">
        <f>AJ38/1000</f>
        <v>58</v>
      </c>
      <c r="BJ28" s="52">
        <f>BB38/1000</f>
        <v>0</v>
      </c>
      <c r="BK28" s="137">
        <f t="shared" si="3"/>
        <v>0.78437793053239369</v>
      </c>
      <c r="BL28" s="52">
        <f t="shared" si="4"/>
        <v>73.943946842860186</v>
      </c>
    </row>
    <row r="29" spans="1:67">
      <c r="A29" s="699"/>
      <c r="B29" s="23"/>
      <c r="C29" s="17" t="s">
        <v>31</v>
      </c>
      <c r="D29" s="57"/>
      <c r="E29" s="2"/>
      <c r="F29" s="2"/>
      <c r="G29" s="63"/>
      <c r="H29" s="2"/>
      <c r="I29" s="20"/>
      <c r="J29" s="21"/>
      <c r="K29" s="21"/>
      <c r="L29" s="22"/>
      <c r="M29" s="2"/>
      <c r="N29" s="23"/>
      <c r="O29" s="19"/>
      <c r="P29" s="19"/>
      <c r="Q29" s="19"/>
      <c r="R29" s="33"/>
      <c r="T29" s="57"/>
      <c r="U29" s="2"/>
      <c r="V29" s="2"/>
      <c r="W29" s="199">
        <f>[2]SA!P57</f>
        <v>4600</v>
      </c>
      <c r="X29" s="198"/>
      <c r="Y29" s="198"/>
      <c r="Z29" s="198"/>
      <c r="AA29" s="274"/>
      <c r="AB29" s="21"/>
      <c r="AC29" s="21"/>
      <c r="AD29" s="21"/>
      <c r="AE29" s="21"/>
      <c r="AF29" s="70"/>
      <c r="AG29" s="20"/>
      <c r="AH29" s="21"/>
      <c r="AI29" s="21"/>
      <c r="AJ29" s="22">
        <f t="shared" si="0"/>
        <v>4600</v>
      </c>
      <c r="AK29" s="29">
        <f>AJ29/[2]Popn!$F$43*1000</f>
        <v>2.8136406522141364</v>
      </c>
      <c r="AL29" s="19"/>
      <c r="AM29" s="57"/>
      <c r="AN29" s="198"/>
      <c r="AO29" s="2"/>
      <c r="AP29" s="63"/>
      <c r="AQ29" s="68"/>
      <c r="AR29" s="21"/>
      <c r="AS29" s="21"/>
      <c r="AT29" s="21"/>
      <c r="AU29" s="240"/>
      <c r="AV29" s="19"/>
      <c r="AW29" s="19"/>
      <c r="AX29" s="68"/>
      <c r="AY29" s="238"/>
      <c r="BB29" s="243"/>
      <c r="BC29" s="24"/>
      <c r="BG29" s="147" t="s">
        <v>7</v>
      </c>
      <c r="BH29" s="52">
        <f>Q41/1000</f>
        <v>29.874632716866564</v>
      </c>
      <c r="BI29" s="52">
        <f>AJ41/1000</f>
        <v>20.9</v>
      </c>
      <c r="BJ29" s="52">
        <f>BB41/1000</f>
        <v>9.6625854905017707</v>
      </c>
      <c r="BK29" s="137">
        <f t="shared" si="3"/>
        <v>0.50569146623587757</v>
      </c>
      <c r="BL29" s="52">
        <f t="shared" si="4"/>
        <v>60.437218207368332</v>
      </c>
    </row>
    <row r="30" spans="1:67">
      <c r="A30" s="699"/>
      <c r="B30" s="23"/>
      <c r="C30" s="17" t="s">
        <v>32</v>
      </c>
      <c r="D30" s="57"/>
      <c r="E30" s="2"/>
      <c r="F30" s="2"/>
      <c r="G30" s="63"/>
      <c r="H30" s="2"/>
      <c r="I30" s="20"/>
      <c r="J30" s="21"/>
      <c r="K30" s="21"/>
      <c r="L30" s="22"/>
      <c r="M30" s="2"/>
      <c r="N30" s="23"/>
      <c r="O30" s="19"/>
      <c r="P30" s="19"/>
      <c r="Q30" s="19"/>
      <c r="R30" s="33"/>
      <c r="T30" s="57"/>
      <c r="U30" s="2"/>
      <c r="V30" s="2"/>
      <c r="W30" s="199">
        <f>[2]SA!P58</f>
        <v>170</v>
      </c>
      <c r="X30" s="198"/>
      <c r="Y30" s="198"/>
      <c r="Z30" s="198"/>
      <c r="AA30" s="274"/>
      <c r="AB30" s="21"/>
      <c r="AC30" s="21"/>
      <c r="AD30" s="21"/>
      <c r="AE30" s="21"/>
      <c r="AF30" s="70"/>
      <c r="AG30" s="20"/>
      <c r="AH30" s="21"/>
      <c r="AI30" s="21"/>
      <c r="AJ30" s="22">
        <f t="shared" si="0"/>
        <v>170</v>
      </c>
      <c r="AK30" s="29">
        <f>AJ30/[2]Popn!$F$43*1000</f>
        <v>0.10398237192965287</v>
      </c>
      <c r="AL30" s="19"/>
      <c r="AM30" s="57"/>
      <c r="AN30" s="198"/>
      <c r="AO30" s="2"/>
      <c r="AP30" s="63"/>
      <c r="AQ30" s="68"/>
      <c r="AR30" s="21"/>
      <c r="AS30" s="21"/>
      <c r="AT30" s="21"/>
      <c r="AU30" s="240"/>
      <c r="AV30" s="19"/>
      <c r="AW30" s="19"/>
      <c r="AX30" s="68"/>
      <c r="AY30" s="238"/>
      <c r="BB30" s="243"/>
      <c r="BC30" s="24"/>
      <c r="BG30" s="147" t="s">
        <v>11</v>
      </c>
      <c r="BH30" s="52">
        <f>Q46/1000</f>
        <v>169.97149717511871</v>
      </c>
      <c r="BI30" s="52">
        <f>AJ46/1000</f>
        <v>0</v>
      </c>
      <c r="BJ30" s="52">
        <f>BB46/1000</f>
        <v>0</v>
      </c>
      <c r="BK30" s="137">
        <f t="shared" si="3"/>
        <v>0</v>
      </c>
      <c r="BL30" s="52">
        <f t="shared" si="4"/>
        <v>169.97149717511871</v>
      </c>
    </row>
    <row r="31" spans="1:67" s="90" customFormat="1">
      <c r="A31" s="699"/>
      <c r="B31" s="91" t="s">
        <v>42</v>
      </c>
      <c r="C31" s="92"/>
      <c r="D31" s="93"/>
      <c r="E31" s="94"/>
      <c r="F31" s="94"/>
      <c r="G31" s="63"/>
      <c r="H31" s="94"/>
      <c r="I31" s="96"/>
      <c r="J31" s="97"/>
      <c r="K31" s="97"/>
      <c r="L31" s="98"/>
      <c r="M31" s="94"/>
      <c r="N31" s="96"/>
      <c r="O31" s="97"/>
      <c r="P31" s="97"/>
      <c r="Q31" s="97"/>
      <c r="R31" s="99"/>
      <c r="T31" s="93"/>
      <c r="U31" s="94"/>
      <c r="V31" s="94"/>
      <c r="W31" s="211">
        <f>SUM(W28:W30)</f>
        <v>8870</v>
      </c>
      <c r="X31" s="289"/>
      <c r="Y31" s="289"/>
      <c r="Z31" s="289"/>
      <c r="AA31" s="280"/>
      <c r="AB31" s="97"/>
      <c r="AC31" s="97"/>
      <c r="AD31" s="97"/>
      <c r="AE31" s="97"/>
      <c r="AF31" s="101"/>
      <c r="AG31" s="96"/>
      <c r="AH31" s="97"/>
      <c r="AI31" s="97"/>
      <c r="AJ31" s="98">
        <f t="shared" si="0"/>
        <v>8870</v>
      </c>
      <c r="AK31" s="102">
        <f>SUM(AK28:AK30)</f>
        <v>5.4254331706824752</v>
      </c>
      <c r="AL31" s="103"/>
      <c r="AM31" s="93"/>
      <c r="AN31" s="204"/>
      <c r="AO31" s="94"/>
      <c r="AP31" s="95"/>
      <c r="AQ31" s="100"/>
      <c r="AR31" s="97"/>
      <c r="AS31" s="128"/>
      <c r="AT31" s="128"/>
      <c r="AU31" s="104"/>
      <c r="AV31" s="97"/>
      <c r="AW31" s="97"/>
      <c r="AX31" s="100"/>
      <c r="AY31" s="239"/>
      <c r="BB31" s="243"/>
      <c r="BC31" s="105"/>
      <c r="BG31" s="147" t="s">
        <v>1</v>
      </c>
      <c r="BH31" s="52">
        <f>Q47/1000</f>
        <v>0</v>
      </c>
      <c r="BI31" s="52">
        <f>AJ47/1000</f>
        <v>200</v>
      </c>
      <c r="BJ31" s="52">
        <f>BB47/1000</f>
        <v>0</v>
      </c>
      <c r="BK31" s="137">
        <f t="shared" si="3"/>
        <v>1</v>
      </c>
      <c r="BL31" s="52">
        <f t="shared" si="4"/>
        <v>200</v>
      </c>
      <c r="BM31" s="6"/>
      <c r="BN31" s="6"/>
      <c r="BO31" s="6"/>
    </row>
    <row r="32" spans="1:67">
      <c r="A32" s="699"/>
      <c r="B32" s="23"/>
      <c r="C32" s="17" t="s">
        <v>33</v>
      </c>
      <c r="D32" s="57"/>
      <c r="E32" s="2"/>
      <c r="F32" s="2"/>
      <c r="G32" s="63"/>
      <c r="H32" s="2"/>
      <c r="I32" s="20"/>
      <c r="J32" s="21"/>
      <c r="K32" s="21"/>
      <c r="L32" s="22"/>
      <c r="M32" s="2"/>
      <c r="N32" s="23"/>
      <c r="O32" s="19"/>
      <c r="P32" s="19"/>
      <c r="Q32" s="19"/>
      <c r="R32" s="33"/>
      <c r="T32" s="57"/>
      <c r="U32" s="2"/>
      <c r="V32" s="2"/>
      <c r="W32" s="199">
        <f>[2]SA!P59</f>
        <v>4600</v>
      </c>
      <c r="X32" s="198"/>
      <c r="Y32" s="198"/>
      <c r="Z32" s="198"/>
      <c r="AA32" s="274"/>
      <c r="AB32" s="21"/>
      <c r="AC32" s="21"/>
      <c r="AD32" s="21"/>
      <c r="AE32" s="21"/>
      <c r="AF32" s="70"/>
      <c r="AG32" s="20"/>
      <c r="AH32" s="21"/>
      <c r="AI32" s="21"/>
      <c r="AJ32" s="22">
        <f t="shared" si="0"/>
        <v>4600</v>
      </c>
      <c r="AK32" s="29">
        <f>AJ32/[2]Popn!$F$43*1000</f>
        <v>2.8136406522141364</v>
      </c>
      <c r="AL32" s="19"/>
      <c r="AM32" s="57"/>
      <c r="AN32" s="198"/>
      <c r="AO32" s="2"/>
      <c r="AP32" s="63"/>
      <c r="AQ32" s="68"/>
      <c r="AR32" s="21"/>
      <c r="AS32" s="21"/>
      <c r="AT32" s="21"/>
      <c r="AU32" s="240"/>
      <c r="AV32" s="19"/>
      <c r="AW32" s="19"/>
      <c r="AX32" s="68"/>
      <c r="AY32" s="238"/>
      <c r="BB32" s="243"/>
      <c r="BC32" s="24"/>
      <c r="BG32" s="142"/>
    </row>
    <row r="33" spans="1:81">
      <c r="A33" s="699"/>
      <c r="B33" s="23"/>
      <c r="C33" s="17" t="s">
        <v>34</v>
      </c>
      <c r="D33" s="57"/>
      <c r="E33" s="2"/>
      <c r="F33" s="2"/>
      <c r="G33" s="63"/>
      <c r="H33" s="2"/>
      <c r="I33" s="20"/>
      <c r="J33" s="21"/>
      <c r="K33" s="21"/>
      <c r="L33" s="22"/>
      <c r="M33" s="2"/>
      <c r="N33" s="23"/>
      <c r="O33" s="19"/>
      <c r="P33" s="19"/>
      <c r="Q33" s="19"/>
      <c r="R33" s="33"/>
      <c r="T33" s="57"/>
      <c r="U33" s="2"/>
      <c r="V33" s="2"/>
      <c r="W33" s="199">
        <f>[2]SA!P60</f>
        <v>4000</v>
      </c>
      <c r="X33" s="198"/>
      <c r="Y33" s="198"/>
      <c r="Z33" s="198"/>
      <c r="AA33" s="274"/>
      <c r="AB33" s="21"/>
      <c r="AC33" s="21"/>
      <c r="AD33" s="21"/>
      <c r="AE33" s="21"/>
      <c r="AF33" s="70"/>
      <c r="AG33" s="20"/>
      <c r="AH33" s="21"/>
      <c r="AI33" s="21"/>
      <c r="AJ33" s="22">
        <f t="shared" si="0"/>
        <v>4000</v>
      </c>
      <c r="AK33" s="29">
        <f>AJ33/[2]Popn!$F$43*1000</f>
        <v>2.4466440454035965</v>
      </c>
      <c r="AL33" s="19"/>
      <c r="AM33" s="57"/>
      <c r="AN33" s="198"/>
      <c r="AO33" s="2"/>
      <c r="AP33" s="63"/>
      <c r="AQ33" s="68"/>
      <c r="AR33" s="21"/>
      <c r="AS33" s="21"/>
      <c r="AT33" s="21"/>
      <c r="AU33" s="240"/>
      <c r="AV33" s="19"/>
      <c r="AW33" s="19"/>
      <c r="AX33" s="68"/>
      <c r="AY33" s="238"/>
      <c r="BB33" s="243"/>
      <c r="BC33" s="24"/>
    </row>
    <row r="34" spans="1:81">
      <c r="A34" s="699"/>
      <c r="B34" s="23"/>
      <c r="C34" s="17" t="s">
        <v>35</v>
      </c>
      <c r="D34" s="57"/>
      <c r="E34" s="2"/>
      <c r="F34" s="2"/>
      <c r="G34" s="63"/>
      <c r="H34" s="2"/>
      <c r="I34" s="20"/>
      <c r="J34" s="21"/>
      <c r="K34" s="21"/>
      <c r="L34" s="22"/>
      <c r="M34" s="2"/>
      <c r="N34" s="23"/>
      <c r="O34" s="19"/>
      <c r="P34" s="19"/>
      <c r="Q34" s="19"/>
      <c r="R34" s="33"/>
      <c r="T34" s="57"/>
      <c r="U34" s="2"/>
      <c r="V34" s="2"/>
      <c r="W34" s="199">
        <f>[2]SA!P61</f>
        <v>430</v>
      </c>
      <c r="X34" s="198"/>
      <c r="Y34" s="198"/>
      <c r="Z34" s="198"/>
      <c r="AA34" s="274"/>
      <c r="AB34" s="21"/>
      <c r="AC34" s="21"/>
      <c r="AD34" s="21"/>
      <c r="AE34" s="21"/>
      <c r="AF34" s="70"/>
      <c r="AG34" s="20"/>
      <c r="AH34" s="21"/>
      <c r="AI34" s="21"/>
      <c r="AJ34" s="22">
        <f t="shared" si="0"/>
        <v>430</v>
      </c>
      <c r="AK34" s="29">
        <f>AJ34/[2]Popn!$F$43*1000</f>
        <v>0.26301423488088665</v>
      </c>
      <c r="AL34" s="19"/>
      <c r="AM34" s="57"/>
      <c r="AN34" s="198"/>
      <c r="AO34" s="2"/>
      <c r="AP34" s="63"/>
      <c r="AQ34" s="68"/>
      <c r="AR34" s="21"/>
      <c r="AS34" s="21"/>
      <c r="AT34" s="21"/>
      <c r="AU34" s="240"/>
      <c r="AV34" s="19"/>
      <c r="AW34" s="19"/>
      <c r="AX34" s="68"/>
      <c r="AY34" s="238"/>
      <c r="BB34" s="243"/>
      <c r="BC34" s="24"/>
    </row>
    <row r="35" spans="1:81">
      <c r="A35" s="699"/>
      <c r="B35" s="23"/>
      <c r="C35" s="17" t="s">
        <v>36</v>
      </c>
      <c r="D35" s="57"/>
      <c r="E35" s="2"/>
      <c r="F35" s="2"/>
      <c r="G35" s="63"/>
      <c r="H35" s="2"/>
      <c r="I35" s="20"/>
      <c r="J35" s="21"/>
      <c r="K35" s="21"/>
      <c r="L35" s="22"/>
      <c r="M35" s="2"/>
      <c r="N35" s="23"/>
      <c r="O35" s="19"/>
      <c r="P35" s="19"/>
      <c r="Q35" s="19"/>
      <c r="R35" s="33"/>
      <c r="T35" s="57"/>
      <c r="U35" s="2"/>
      <c r="V35" s="2"/>
      <c r="W35" s="199">
        <f>[2]SA!P62</f>
        <v>5800</v>
      </c>
      <c r="X35" s="198"/>
      <c r="Y35" s="198"/>
      <c r="Z35" s="198"/>
      <c r="AA35" s="274"/>
      <c r="AB35" s="21"/>
      <c r="AC35" s="21"/>
      <c r="AD35" s="21"/>
      <c r="AE35" s="21"/>
      <c r="AF35" s="70"/>
      <c r="AG35" s="20"/>
      <c r="AH35" s="21"/>
      <c r="AI35" s="21"/>
      <c r="AJ35" s="22">
        <f t="shared" si="0"/>
        <v>5800</v>
      </c>
      <c r="AK35" s="29">
        <f>AJ35/[2]Popn!$F$43*1000</f>
        <v>3.5476338658352153</v>
      </c>
      <c r="AL35" s="19"/>
      <c r="AM35" s="57"/>
      <c r="AN35" s="198"/>
      <c r="AO35" s="2"/>
      <c r="AP35" s="63"/>
      <c r="AQ35" s="68"/>
      <c r="AR35" s="21"/>
      <c r="AS35" s="21"/>
      <c r="AT35" s="21"/>
      <c r="AU35" s="240"/>
      <c r="AV35" s="19"/>
      <c r="AW35" s="19"/>
      <c r="AX35" s="68"/>
      <c r="AY35" s="238"/>
      <c r="BB35" s="243"/>
      <c r="BC35" s="24"/>
    </row>
    <row r="36" spans="1:81" s="90" customFormat="1">
      <c r="A36" s="699"/>
      <c r="B36" s="91" t="s">
        <v>43</v>
      </c>
      <c r="C36" s="92"/>
      <c r="D36" s="93"/>
      <c r="E36" s="94"/>
      <c r="F36" s="94"/>
      <c r="G36" s="63"/>
      <c r="H36" s="94"/>
      <c r="I36" s="96"/>
      <c r="J36" s="97"/>
      <c r="K36" s="97"/>
      <c r="L36" s="98"/>
      <c r="M36" s="94"/>
      <c r="N36" s="96"/>
      <c r="O36" s="97"/>
      <c r="P36" s="97"/>
      <c r="Q36" s="97"/>
      <c r="R36" s="99"/>
      <c r="T36" s="93"/>
      <c r="U36" s="94"/>
      <c r="V36" s="94"/>
      <c r="W36" s="211">
        <f>SUM(W32:W35)</f>
        <v>14830</v>
      </c>
      <c r="X36" s="289"/>
      <c r="Y36" s="289"/>
      <c r="Z36" s="289"/>
      <c r="AA36" s="280"/>
      <c r="AB36" s="97"/>
      <c r="AC36" s="97"/>
      <c r="AD36" s="97"/>
      <c r="AE36" s="97"/>
      <c r="AF36" s="101"/>
      <c r="AG36" s="96"/>
      <c r="AH36" s="97"/>
      <c r="AI36" s="97"/>
      <c r="AJ36" s="98">
        <f t="shared" si="0"/>
        <v>14830</v>
      </c>
      <c r="AK36" s="102">
        <f>SUM(AK32:AK35)</f>
        <v>9.0709327983338355</v>
      </c>
      <c r="AL36" s="103"/>
      <c r="AM36" s="93"/>
      <c r="AN36" s="204"/>
      <c r="AO36" s="94"/>
      <c r="AP36" s="95"/>
      <c r="AQ36" s="100"/>
      <c r="AR36" s="97"/>
      <c r="AS36" s="97"/>
      <c r="AT36" s="97"/>
      <c r="AU36" s="104"/>
      <c r="AV36" s="97"/>
      <c r="AW36" s="97"/>
      <c r="AX36" s="100"/>
      <c r="AY36" s="239"/>
      <c r="BB36" s="243"/>
      <c r="BC36" s="105"/>
      <c r="BG36" s="143"/>
    </row>
    <row r="37" spans="1:81" s="106" customFormat="1">
      <c r="A37" s="699"/>
      <c r="B37" s="107" t="s">
        <v>67</v>
      </c>
      <c r="C37" s="108"/>
      <c r="D37" s="109"/>
      <c r="E37" s="110"/>
      <c r="F37" s="110"/>
      <c r="G37" s="63"/>
      <c r="H37" s="110"/>
      <c r="I37" s="112">
        <f>D50*[2]SA!$L$368</f>
        <v>30710.713720874632</v>
      </c>
      <c r="J37" s="113">
        <f>(E50-G45)*[2]SA!L$229</f>
        <v>20695.033892743093</v>
      </c>
      <c r="K37" s="113">
        <f>F50*[2]SA!M$229</f>
        <v>6218.2326103216164</v>
      </c>
      <c r="L37" s="114">
        <f>SUM(I37:K37)</f>
        <v>57623.980223939347</v>
      </c>
      <c r="M37" s="110"/>
      <c r="N37" s="112">
        <f t="shared" ref="N37:P38" si="6">I37-AU37</f>
        <v>30710.713720874632</v>
      </c>
      <c r="O37" s="113">
        <f t="shared" si="6"/>
        <v>20695.033892743093</v>
      </c>
      <c r="P37" s="113">
        <f t="shared" si="6"/>
        <v>6218.2326103216164</v>
      </c>
      <c r="Q37" s="114">
        <f>SUM(N37:P37)</f>
        <v>57623.980223939347</v>
      </c>
      <c r="R37" s="115">
        <f>Q37/[2]Popn!$F$43*1000</f>
        <v>35.246342021838956</v>
      </c>
      <c r="T37" s="109"/>
      <c r="U37" s="110"/>
      <c r="V37" s="110"/>
      <c r="W37" s="203">
        <f>W31+W36</f>
        <v>23700</v>
      </c>
      <c r="X37" s="130"/>
      <c r="Y37" s="130"/>
      <c r="Z37" s="130"/>
      <c r="AA37" s="276"/>
      <c r="AB37" s="113"/>
      <c r="AC37" s="113"/>
      <c r="AD37" s="113"/>
      <c r="AE37" s="113"/>
      <c r="AF37" s="117"/>
      <c r="AG37" s="112"/>
      <c r="AH37" s="113"/>
      <c r="AI37" s="113"/>
      <c r="AJ37" s="114">
        <f t="shared" si="0"/>
        <v>23700</v>
      </c>
      <c r="AK37" s="115">
        <f>AK31+AK36</f>
        <v>14.49636596901631</v>
      </c>
      <c r="AL37" s="119"/>
      <c r="AM37" s="109"/>
      <c r="AN37" s="130">
        <f>[2]SA!$M$162*[2]SA!$M$157</f>
        <v>16500</v>
      </c>
      <c r="AO37" s="110"/>
      <c r="AP37" s="111"/>
      <c r="AQ37" s="116"/>
      <c r="AR37" s="113"/>
      <c r="AS37" s="113"/>
      <c r="AT37" s="113"/>
      <c r="AU37" s="120"/>
      <c r="AV37" s="113"/>
      <c r="AW37" s="113"/>
      <c r="AX37" s="116"/>
      <c r="AY37" s="237"/>
      <c r="AZ37" s="242">
        <f>AN37</f>
        <v>16500</v>
      </c>
      <c r="BB37" s="243">
        <f t="shared" si="5"/>
        <v>16500</v>
      </c>
      <c r="BC37" s="118">
        <f>BB37/[2]Popn!$F$43*1000</f>
        <v>10.092406687289838</v>
      </c>
      <c r="BG37" s="144"/>
    </row>
    <row r="38" spans="1:81" s="106" customFormat="1">
      <c r="A38" s="699"/>
      <c r="B38" s="37" t="s">
        <v>8</v>
      </c>
      <c r="C38" s="129" t="s">
        <v>8</v>
      </c>
      <c r="D38" s="109"/>
      <c r="E38" s="110"/>
      <c r="F38" s="110"/>
      <c r="G38" s="63"/>
      <c r="H38" s="110"/>
      <c r="I38" s="112">
        <f>D50*[2]SA!$L$369</f>
        <v>13215.222612501608</v>
      </c>
      <c r="J38" s="113">
        <f>(E50-G45)*[2]SA!L$230</f>
        <v>2079.8087479352498</v>
      </c>
      <c r="K38" s="113">
        <f>F50*[2]SA!M$230</f>
        <v>648.9154824233359</v>
      </c>
      <c r="L38" s="114">
        <f>SUM(I38:K38)</f>
        <v>15943.946842860192</v>
      </c>
      <c r="M38" s="110"/>
      <c r="N38" s="112">
        <f t="shared" si="6"/>
        <v>13215.222612501608</v>
      </c>
      <c r="O38" s="113">
        <f t="shared" si="6"/>
        <v>2079.8087479352498</v>
      </c>
      <c r="P38" s="113">
        <f t="shared" si="6"/>
        <v>648.9154824233359</v>
      </c>
      <c r="Q38" s="114">
        <f>SUM(N38:P38)</f>
        <v>15943.946842860192</v>
      </c>
      <c r="R38" s="115">
        <f>Q38/[2]Popn!$F$43*1000</f>
        <v>9.7522906508288418</v>
      </c>
      <c r="T38" s="109"/>
      <c r="U38" s="110"/>
      <c r="V38" s="110"/>
      <c r="W38" s="203">
        <f>[2]SA!P63</f>
        <v>58000</v>
      </c>
      <c r="X38" s="130"/>
      <c r="Y38" s="130"/>
      <c r="Z38" s="130"/>
      <c r="AA38" s="276"/>
      <c r="AB38" s="113"/>
      <c r="AC38" s="113"/>
      <c r="AD38" s="113"/>
      <c r="AE38" s="113"/>
      <c r="AF38" s="117"/>
      <c r="AG38" s="112"/>
      <c r="AH38" s="113"/>
      <c r="AI38" s="113"/>
      <c r="AJ38" s="114">
        <f t="shared" si="0"/>
        <v>58000</v>
      </c>
      <c r="AK38" s="118">
        <f>AJ38/[2]Popn!$F$43*1000</f>
        <v>35.476338658352155</v>
      </c>
      <c r="AL38" s="119"/>
      <c r="AM38" s="109"/>
      <c r="AN38" s="130"/>
      <c r="AO38" s="110"/>
      <c r="AP38" s="111"/>
      <c r="AQ38" s="116"/>
      <c r="AR38" s="113"/>
      <c r="AS38" s="113"/>
      <c r="AT38" s="113"/>
      <c r="AU38" s="120"/>
      <c r="AV38" s="113"/>
      <c r="AW38" s="113"/>
      <c r="AX38" s="116"/>
      <c r="AY38" s="237"/>
      <c r="BB38" s="243"/>
      <c r="BC38" s="121"/>
      <c r="BG38" s="144"/>
    </row>
    <row r="39" spans="1:81">
      <c r="A39" s="699"/>
      <c r="B39" s="23" t="s">
        <v>7</v>
      </c>
      <c r="C39" s="17" t="s">
        <v>9</v>
      </c>
      <c r="D39" s="57"/>
      <c r="E39" s="2"/>
      <c r="F39" s="2"/>
      <c r="G39" s="63"/>
      <c r="H39" s="2"/>
      <c r="I39" s="20">
        <f>D50*[2]SA!$L$370</f>
        <v>13640.696618055428</v>
      </c>
      <c r="J39" s="21"/>
      <c r="K39" s="21"/>
      <c r="L39" s="22"/>
      <c r="M39" s="2"/>
      <c r="N39" s="20"/>
      <c r="O39" s="21"/>
      <c r="P39" s="21"/>
      <c r="Q39" s="22"/>
      <c r="R39" s="34"/>
      <c r="T39" s="57"/>
      <c r="U39" s="2"/>
      <c r="V39" s="2"/>
      <c r="W39" s="199">
        <f>[2]SA!P64</f>
        <v>3900</v>
      </c>
      <c r="X39" s="198"/>
      <c r="Y39" s="198"/>
      <c r="Z39" s="198"/>
      <c r="AA39" s="274"/>
      <c r="AB39" s="21"/>
      <c r="AC39" s="21"/>
      <c r="AD39" s="21"/>
      <c r="AE39" s="21"/>
      <c r="AF39" s="70"/>
      <c r="AG39" s="20"/>
      <c r="AH39" s="21"/>
      <c r="AI39" s="21"/>
      <c r="AJ39" s="22">
        <f t="shared" si="0"/>
        <v>3900</v>
      </c>
      <c r="AK39" s="29">
        <f>AJ39/[2]Popn!$F$43*1000</f>
        <v>2.3854779442685072</v>
      </c>
      <c r="AL39" s="19"/>
      <c r="AM39" s="57"/>
      <c r="AN39" s="198">
        <f>[2]SA!$M$163*[2]SA!$M$157</f>
        <v>5500</v>
      </c>
      <c r="AO39" s="2"/>
      <c r="AP39" s="63"/>
      <c r="AQ39" s="68"/>
      <c r="AR39" s="21"/>
      <c r="AS39" s="35"/>
      <c r="AT39" s="21"/>
      <c r="AU39" s="25"/>
      <c r="AV39" s="21"/>
      <c r="AW39" s="21"/>
      <c r="AX39" s="68"/>
      <c r="AY39" s="238"/>
      <c r="AZ39" s="52">
        <f>AN39</f>
        <v>5500</v>
      </c>
      <c r="BB39" s="243"/>
      <c r="BC39" s="29"/>
    </row>
    <row r="40" spans="1:81">
      <c r="A40" s="699"/>
      <c r="B40" s="23"/>
      <c r="C40" s="17" t="s">
        <v>10</v>
      </c>
      <c r="D40" s="57"/>
      <c r="E40" s="2"/>
      <c r="F40" s="2"/>
      <c r="G40" s="63"/>
      <c r="H40" s="2"/>
      <c r="I40" s="20">
        <f>D50*[2]SA!$L$371</f>
        <v>0</v>
      </c>
      <c r="J40" s="21"/>
      <c r="K40" s="21"/>
      <c r="L40" s="22"/>
      <c r="M40" s="2"/>
      <c r="N40" s="20"/>
      <c r="O40" s="21"/>
      <c r="P40" s="21"/>
      <c r="Q40" s="22"/>
      <c r="R40" s="33"/>
      <c r="T40" s="57"/>
      <c r="U40" s="2"/>
      <c r="V40" s="2"/>
      <c r="W40" s="199">
        <f>[2]SA!P65</f>
        <v>17000</v>
      </c>
      <c r="X40" s="198"/>
      <c r="Y40" s="198"/>
      <c r="Z40" s="198"/>
      <c r="AA40" s="274"/>
      <c r="AB40" s="21"/>
      <c r="AC40" s="21"/>
      <c r="AD40" s="21"/>
      <c r="AE40" s="21"/>
      <c r="AF40" s="70"/>
      <c r="AG40" s="20"/>
      <c r="AH40" s="21"/>
      <c r="AI40" s="21"/>
      <c r="AJ40" s="22">
        <f t="shared" si="0"/>
        <v>17000</v>
      </c>
      <c r="AK40" s="29">
        <f>AJ40/[2]Popn!$F$43*1000</f>
        <v>10.398237192965286</v>
      </c>
      <c r="AL40" s="19"/>
      <c r="AM40" s="57"/>
      <c r="AN40" s="2"/>
      <c r="AO40" s="2"/>
      <c r="AP40" s="63"/>
      <c r="AQ40" s="68"/>
      <c r="AR40" s="21"/>
      <c r="AS40" s="21"/>
      <c r="AT40" s="21"/>
      <c r="AU40" s="240"/>
      <c r="AV40" s="21"/>
      <c r="AW40" s="19"/>
      <c r="AX40" s="68"/>
      <c r="AY40" s="238"/>
      <c r="BB40" s="243"/>
      <c r="BC40" s="29"/>
    </row>
    <row r="41" spans="1:81" s="106" customFormat="1" ht="15.75">
      <c r="A41" s="699"/>
      <c r="B41" s="107" t="s">
        <v>67</v>
      </c>
      <c r="C41" s="108"/>
      <c r="D41" s="109"/>
      <c r="E41" s="110"/>
      <c r="F41" s="110"/>
      <c r="G41" s="63"/>
      <c r="H41" s="110"/>
      <c r="I41" s="112">
        <f>SUM(I39:I40)</f>
        <v>13640.696618055428</v>
      </c>
      <c r="J41" s="113">
        <f>(E50-G45)*[2]SA!L$231</f>
        <v>12122.849188415374</v>
      </c>
      <c r="K41" s="113">
        <f>F50*[2]SA!M$231</f>
        <v>8273.6724008975325</v>
      </c>
      <c r="L41" s="114">
        <f>SUM(I41:K41)</f>
        <v>34037.218207368336</v>
      </c>
      <c r="M41" s="110"/>
      <c r="N41" s="112">
        <f>I41-AU41</f>
        <v>11972.506066268139</v>
      </c>
      <c r="O41" s="113">
        <f>J41-AV41</f>
        <v>10640.283961498122</v>
      </c>
      <c r="P41" s="113">
        <f>K41-AW41</f>
        <v>7261.8426891003</v>
      </c>
      <c r="Q41" s="114">
        <f>SUM(N41:P41)</f>
        <v>29874.632716866563</v>
      </c>
      <c r="R41" s="115">
        <f>Q41/[2]Popn!$F$43*1000</f>
        <v>18.273148061335263</v>
      </c>
      <c r="T41" s="109"/>
      <c r="U41" s="110"/>
      <c r="V41" s="110"/>
      <c r="W41" s="203">
        <f>SUM(W39:W40)</f>
        <v>20900</v>
      </c>
      <c r="X41" s="130"/>
      <c r="Y41" s="130"/>
      <c r="Z41" s="130"/>
      <c r="AA41" s="276"/>
      <c r="AB41" s="113"/>
      <c r="AC41" s="113"/>
      <c r="AD41" s="113"/>
      <c r="AE41" s="113"/>
      <c r="AF41" s="117"/>
      <c r="AG41" s="112"/>
      <c r="AH41" s="113"/>
      <c r="AI41" s="113"/>
      <c r="AJ41" s="114">
        <f t="shared" si="0"/>
        <v>20900</v>
      </c>
      <c r="AK41" s="118">
        <f>SUM(AK39:AK40)</f>
        <v>12.783715137233793</v>
      </c>
      <c r="AL41" s="119"/>
      <c r="AM41" s="109"/>
      <c r="AN41" s="110"/>
      <c r="AO41" s="110"/>
      <c r="AP41" s="111"/>
      <c r="AQ41" s="116"/>
      <c r="AR41" s="113">
        <f>L41*'[2]Lfill en &amp; composn'!$D$25</f>
        <v>5360.8618676605129</v>
      </c>
      <c r="AS41" s="113">
        <f>AR41/SUM($AR$7:$AR$49)</f>
        <v>7.5356557747030262E-2</v>
      </c>
      <c r="AT41" s="113">
        <f>AS41*'[2]Lfill en &amp; composn'!$F$64/'[2]Lfill en &amp; composn'!$B$25</f>
        <v>4162.5854905017723</v>
      </c>
      <c r="AU41" s="120">
        <f>$AT41*I41/SUM($I41:$K41)</f>
        <v>1668.1905517872883</v>
      </c>
      <c r="AV41" s="113">
        <f>$AT41*J41/SUM($I41:$K41)</f>
        <v>1482.5652269172508</v>
      </c>
      <c r="AW41" s="113">
        <f>$AT41*K41/SUM($I41:$K41)</f>
        <v>1011.8297117972328</v>
      </c>
      <c r="AX41" s="116"/>
      <c r="AY41" s="241">
        <f>AU41</f>
        <v>1668.1905517872883</v>
      </c>
      <c r="AZ41" s="242">
        <f>AV41+AZ39</f>
        <v>6982.5652269172506</v>
      </c>
      <c r="BA41" s="242">
        <f>AW41</f>
        <v>1011.8297117972328</v>
      </c>
      <c r="BB41" s="243">
        <f t="shared" si="5"/>
        <v>9662.5854905017713</v>
      </c>
      <c r="BC41" s="118">
        <f>BB41/[2]Popn!$F$43*1000</f>
        <v>5.9102268133848384</v>
      </c>
      <c r="BD41" s="122"/>
      <c r="BG41" s="144"/>
      <c r="BR41" s="336" t="s">
        <v>106</v>
      </c>
      <c r="BS41" s="315"/>
      <c r="BT41" s="316" t="s">
        <v>109</v>
      </c>
      <c r="BU41" s="316"/>
      <c r="BV41" s="314"/>
      <c r="BW41" s="310" t="s">
        <v>107</v>
      </c>
      <c r="BX41" s="314"/>
      <c r="BY41" s="314"/>
      <c r="BZ41" s="314"/>
      <c r="CA41" s="314"/>
      <c r="CB41" s="314"/>
      <c r="CC41" s="314"/>
    </row>
    <row r="42" spans="1:81" ht="38.25">
      <c r="A42" s="699"/>
      <c r="B42" s="23" t="s">
        <v>11</v>
      </c>
      <c r="C42" s="17" t="s">
        <v>12</v>
      </c>
      <c r="D42" s="57"/>
      <c r="E42" s="2"/>
      <c r="F42" s="2"/>
      <c r="G42" s="63"/>
      <c r="H42" s="2"/>
      <c r="I42" s="20"/>
      <c r="J42" s="21"/>
      <c r="K42" s="21"/>
      <c r="L42" s="22"/>
      <c r="M42" s="2"/>
      <c r="N42" s="20"/>
      <c r="O42" s="21"/>
      <c r="P42" s="21"/>
      <c r="Q42" s="22"/>
      <c r="R42" s="33"/>
      <c r="T42" s="57"/>
      <c r="U42" s="2"/>
      <c r="V42" s="2"/>
      <c r="W42" s="199"/>
      <c r="X42" s="198"/>
      <c r="Y42" s="198"/>
      <c r="Z42" s="198"/>
      <c r="AA42" s="274"/>
      <c r="AB42" s="21"/>
      <c r="AC42" s="21"/>
      <c r="AD42" s="21"/>
      <c r="AE42" s="21"/>
      <c r="AF42" s="70"/>
      <c r="AG42" s="20"/>
      <c r="AH42" s="21"/>
      <c r="AI42" s="21"/>
      <c r="AJ42" s="22">
        <f t="shared" si="0"/>
        <v>0</v>
      </c>
      <c r="AK42" s="29">
        <f>AJ42/[2]Popn!$F$43*1000</f>
        <v>0</v>
      </c>
      <c r="AL42" s="19"/>
      <c r="AM42" s="57"/>
      <c r="AN42" s="2"/>
      <c r="AO42" s="2"/>
      <c r="AP42" s="63"/>
      <c r="AQ42" s="68"/>
      <c r="AR42" s="21"/>
      <c r="AS42" s="21"/>
      <c r="AT42" s="21"/>
      <c r="AU42" s="25"/>
      <c r="AV42" s="21"/>
      <c r="AW42" s="22"/>
      <c r="AX42" s="2"/>
      <c r="AY42" s="23"/>
      <c r="AZ42" s="19"/>
      <c r="BA42" s="19"/>
      <c r="BB42" s="243"/>
      <c r="BC42" s="24"/>
      <c r="BR42" s="317"/>
      <c r="BS42" s="317"/>
      <c r="BT42" s="317"/>
      <c r="BU42" s="317"/>
      <c r="BV42" s="318" t="s">
        <v>100</v>
      </c>
      <c r="BW42" s="311" t="s">
        <v>104</v>
      </c>
      <c r="BX42" s="318" t="s">
        <v>101</v>
      </c>
      <c r="BY42" s="319" t="s">
        <v>102</v>
      </c>
      <c r="BZ42" s="318" t="s">
        <v>103</v>
      </c>
      <c r="CA42" s="574" t="s">
        <v>192</v>
      </c>
      <c r="CB42" s="574" t="s">
        <v>258</v>
      </c>
      <c r="CC42" s="317"/>
    </row>
    <row r="43" spans="1:81">
      <c r="A43" s="699"/>
      <c r="B43" s="23"/>
      <c r="C43" s="17" t="s">
        <v>13</v>
      </c>
      <c r="D43" s="57"/>
      <c r="E43" s="2"/>
      <c r="F43" s="2"/>
      <c r="G43" s="63"/>
      <c r="H43" s="3"/>
      <c r="I43" s="20"/>
      <c r="J43" s="21"/>
      <c r="K43" s="21"/>
      <c r="L43" s="22"/>
      <c r="M43" s="83"/>
      <c r="N43" s="20"/>
      <c r="O43" s="21"/>
      <c r="P43" s="21"/>
      <c r="Q43" s="22"/>
      <c r="R43" s="34"/>
      <c r="T43" s="57"/>
      <c r="U43" s="2"/>
      <c r="V43" s="2"/>
      <c r="W43" s="199"/>
      <c r="X43" s="198"/>
      <c r="Y43" s="198"/>
      <c r="Z43" s="198"/>
      <c r="AA43" s="282"/>
      <c r="AB43" s="21"/>
      <c r="AC43" s="21"/>
      <c r="AD43" s="21"/>
      <c r="AE43" s="21"/>
      <c r="AF43" s="70"/>
      <c r="AG43" s="20"/>
      <c r="AH43" s="21"/>
      <c r="AI43" s="21"/>
      <c r="AJ43" s="22">
        <f t="shared" si="0"/>
        <v>0</v>
      </c>
      <c r="AK43" s="29">
        <f>AJ43/[2]Popn!$F$43*1000</f>
        <v>0</v>
      </c>
      <c r="AL43" s="19"/>
      <c r="AM43" s="57"/>
      <c r="AN43" s="2"/>
      <c r="AO43" s="2"/>
      <c r="AP43" s="64"/>
      <c r="AQ43" s="69"/>
      <c r="AR43" s="21"/>
      <c r="AS43" s="21"/>
      <c r="AT43" s="21"/>
      <c r="AU43" s="25"/>
      <c r="AV43" s="21"/>
      <c r="AW43" s="22"/>
      <c r="AX43" s="2"/>
      <c r="AY43" s="20"/>
      <c r="AZ43" s="21"/>
      <c r="BA43" s="21"/>
      <c r="BB43" s="243"/>
      <c r="BC43" s="24"/>
      <c r="BR43" s="317"/>
      <c r="BS43" s="317"/>
      <c r="BT43" s="317"/>
      <c r="BU43" s="575" t="s">
        <v>72</v>
      </c>
      <c r="BV43" s="321">
        <f>BL151</f>
        <v>0.63989425787136811</v>
      </c>
      <c r="BW43" s="307">
        <f>AVERAGE(BV43,BX43)</f>
        <v>0.6151351487188037</v>
      </c>
      <c r="BX43" s="322">
        <f>BL104</f>
        <v>0.5903760395662393</v>
      </c>
      <c r="BY43" s="322">
        <f>BL57</f>
        <v>0.5524997327497847</v>
      </c>
      <c r="BZ43" s="322">
        <f>BL10</f>
        <v>0.53993457697631952</v>
      </c>
      <c r="CA43" s="553">
        <f>(BZ43-BV43)/BV43</f>
        <v>-0.15621281120347627</v>
      </c>
      <c r="CB43" s="594">
        <f>(BZ43/BV43)^(1/4)-1</f>
        <v>-4.1574783127317883E-2</v>
      </c>
      <c r="CC43" s="317"/>
    </row>
    <row r="44" spans="1:81">
      <c r="A44" s="699"/>
      <c r="B44" s="23"/>
      <c r="C44" s="17" t="s">
        <v>14</v>
      </c>
      <c r="D44" s="57"/>
      <c r="E44" s="2"/>
      <c r="F44" s="2"/>
      <c r="G44" s="63"/>
      <c r="H44" s="3"/>
      <c r="I44" s="20"/>
      <c r="J44" s="21"/>
      <c r="K44" s="21"/>
      <c r="L44" s="22"/>
      <c r="M44" s="83"/>
      <c r="N44" s="20"/>
      <c r="O44" s="21"/>
      <c r="P44" s="21"/>
      <c r="Q44" s="22"/>
      <c r="R44" s="34"/>
      <c r="T44" s="57"/>
      <c r="U44" s="2"/>
      <c r="V44" s="2"/>
      <c r="W44" s="199"/>
      <c r="X44" s="198"/>
      <c r="Y44" s="198"/>
      <c r="Z44" s="198"/>
      <c r="AA44" s="282"/>
      <c r="AB44" s="21"/>
      <c r="AC44" s="21"/>
      <c r="AD44" s="21"/>
      <c r="AE44" s="21"/>
      <c r="AF44" s="70"/>
      <c r="AG44" s="20"/>
      <c r="AH44" s="21"/>
      <c r="AI44" s="21"/>
      <c r="AJ44" s="22">
        <f t="shared" si="0"/>
        <v>0</v>
      </c>
      <c r="AK44" s="29">
        <f>AJ44/[2]Popn!$F$43*1000</f>
        <v>0</v>
      </c>
      <c r="AL44" s="19"/>
      <c r="AM44" s="57"/>
      <c r="AN44" s="2"/>
      <c r="AO44" s="2"/>
      <c r="AP44" s="64"/>
      <c r="AQ44" s="69"/>
      <c r="AR44" s="21"/>
      <c r="AS44" s="21"/>
      <c r="AT44" s="21"/>
      <c r="AU44" s="25"/>
      <c r="AV44" s="21"/>
      <c r="AW44" s="22"/>
      <c r="AX44" s="2"/>
      <c r="AY44" s="23"/>
      <c r="AZ44" s="19"/>
      <c r="BA44" s="19"/>
      <c r="BB44" s="243"/>
      <c r="BC44" s="24"/>
      <c r="BR44" s="317"/>
      <c r="BS44" s="317"/>
      <c r="BT44" s="317"/>
      <c r="BU44" s="576" t="s">
        <v>68</v>
      </c>
      <c r="BV44" s="335">
        <f>BL152</f>
        <v>1.3270024786003183</v>
      </c>
      <c r="BW44" s="308">
        <f>AVERAGE(BV44,BX44)</f>
        <v>1.377376265130617</v>
      </c>
      <c r="BX44" s="324">
        <f>BL105</f>
        <v>1.4277500516609156</v>
      </c>
      <c r="BY44" s="324">
        <f>BL58</f>
        <v>1.4279250857943093</v>
      </c>
      <c r="BZ44" s="324">
        <f>BL11</f>
        <v>1.7413377332148747</v>
      </c>
      <c r="CA44" s="328">
        <f t="shared" ref="CA44:CA47" si="7">(BZ44-BV44)/BV44</f>
        <v>0.31223397190002589</v>
      </c>
      <c r="CB44" s="593">
        <f t="shared" ref="CB44:CB47" si="8">(BZ44/BV44)^(1/4)-1</f>
        <v>7.029333066860266E-2</v>
      </c>
      <c r="CC44" s="317"/>
    </row>
    <row r="45" spans="1:81">
      <c r="A45" s="699"/>
      <c r="B45" s="23"/>
      <c r="C45" s="17" t="s">
        <v>15</v>
      </c>
      <c r="D45" s="57"/>
      <c r="E45" s="2"/>
      <c r="F45" s="2"/>
      <c r="G45" s="199">
        <f>'[2]Haz-SA'!$P$24</f>
        <v>13009.16</v>
      </c>
      <c r="H45" s="3"/>
      <c r="I45" s="20"/>
      <c r="J45" s="21">
        <f>G45</f>
        <v>13009.16</v>
      </c>
      <c r="K45" s="21"/>
      <c r="L45" s="22"/>
      <c r="M45" s="83"/>
      <c r="N45" s="20"/>
      <c r="O45" s="21">
        <f>J45</f>
        <v>13009.16</v>
      </c>
      <c r="P45" s="21"/>
      <c r="Q45" s="22"/>
      <c r="R45" s="34"/>
      <c r="T45" s="57"/>
      <c r="U45" s="2"/>
      <c r="V45" s="2"/>
      <c r="W45" s="199"/>
      <c r="X45" s="198"/>
      <c r="Y45" s="198"/>
      <c r="Z45" s="198"/>
      <c r="AA45" s="282"/>
      <c r="AB45" s="21"/>
      <c r="AC45" s="21"/>
      <c r="AD45" s="21"/>
      <c r="AE45" s="21"/>
      <c r="AF45" s="70"/>
      <c r="AG45" s="20"/>
      <c r="AH45" s="21"/>
      <c r="AI45" s="21"/>
      <c r="AJ45" s="22">
        <f t="shared" si="0"/>
        <v>0</v>
      </c>
      <c r="AK45" s="29">
        <f>AJ45/[2]Popn!$F$43*1000</f>
        <v>0</v>
      </c>
      <c r="AL45" s="19"/>
      <c r="AM45" s="57"/>
      <c r="AN45" s="2"/>
      <c r="AO45" s="2"/>
      <c r="AP45" s="64"/>
      <c r="AQ45" s="69"/>
      <c r="AR45" s="21"/>
      <c r="AS45" s="21"/>
      <c r="AT45" s="21"/>
      <c r="AU45" s="25"/>
      <c r="AV45" s="21"/>
      <c r="AW45" s="22"/>
      <c r="AX45" s="2"/>
      <c r="AY45" s="23"/>
      <c r="AZ45" s="19"/>
      <c r="BA45" s="19"/>
      <c r="BB45" s="243"/>
      <c r="BC45" s="24"/>
      <c r="BR45" s="317"/>
      <c r="BS45" s="317"/>
      <c r="BT45" s="317"/>
      <c r="BU45" s="576" t="s">
        <v>69</v>
      </c>
      <c r="BV45" s="335">
        <f>BL153</f>
        <v>6.633486797189965E-2</v>
      </c>
      <c r="BW45" s="308">
        <f>AVERAGE(BV45,BX45)</f>
        <v>7.6303104683287812E-2</v>
      </c>
      <c r="BX45" s="324">
        <f>BL106</f>
        <v>8.6271341394675974E-2</v>
      </c>
      <c r="BY45" s="324">
        <f>BL59</f>
        <v>8.3959530061943219E-2</v>
      </c>
      <c r="BZ45" s="324">
        <f>BL12</f>
        <v>8.3314255704724643E-2</v>
      </c>
      <c r="CA45" s="328">
        <f t="shared" si="7"/>
        <v>0.25596474752942439</v>
      </c>
      <c r="CB45" s="593">
        <f t="shared" si="8"/>
        <v>5.863040306639955E-2</v>
      </c>
      <c r="CC45" s="317"/>
    </row>
    <row r="46" spans="1:81" s="106" customFormat="1">
      <c r="A46" s="699"/>
      <c r="B46" s="107" t="s">
        <v>67</v>
      </c>
      <c r="C46" s="108"/>
      <c r="D46" s="109"/>
      <c r="E46" s="110"/>
      <c r="F46" s="110"/>
      <c r="G46" s="63"/>
      <c r="H46" s="125"/>
      <c r="I46" s="112">
        <f>D50*[2]SA!$L$372</f>
        <v>2033.7657465472516</v>
      </c>
      <c r="J46" s="113">
        <f>SUM(J42:J45)</f>
        <v>13009.16</v>
      </c>
      <c r="K46" s="113">
        <f>F50*[2]SA!M$232</f>
        <v>154928.57142857145</v>
      </c>
      <c r="L46" s="114">
        <f>SUM(I46:K46)</f>
        <v>169971.49717511871</v>
      </c>
      <c r="M46" s="110"/>
      <c r="N46" s="112">
        <f>I46-AU46</f>
        <v>2033.7657465472516</v>
      </c>
      <c r="O46" s="113">
        <f>J46-AV46</f>
        <v>13009.16</v>
      </c>
      <c r="P46" s="113">
        <f>K46-AW46</f>
        <v>154928.57142857145</v>
      </c>
      <c r="Q46" s="114">
        <f>SUM(N46:P46)</f>
        <v>169971.49717511871</v>
      </c>
      <c r="R46" s="115">
        <f>Q46/[2]Popn!$F$43*1000</f>
        <v>103.96493786295962</v>
      </c>
      <c r="T46" s="109"/>
      <c r="U46" s="110"/>
      <c r="V46" s="110"/>
      <c r="W46" s="203">
        <f>SUM(W42:W45)</f>
        <v>0</v>
      </c>
      <c r="X46" s="130"/>
      <c r="Y46" s="130"/>
      <c r="Z46" s="130"/>
      <c r="AA46" s="284"/>
      <c r="AB46" s="113"/>
      <c r="AC46" s="113"/>
      <c r="AD46" s="113"/>
      <c r="AE46" s="113"/>
      <c r="AF46" s="117"/>
      <c r="AG46" s="112"/>
      <c r="AH46" s="113"/>
      <c r="AI46" s="113"/>
      <c r="AJ46" s="114">
        <f t="shared" si="0"/>
        <v>0</v>
      </c>
      <c r="AK46" s="118">
        <f>SUM(AK42:AK45)</f>
        <v>0</v>
      </c>
      <c r="AL46" s="119"/>
      <c r="AM46" s="109"/>
      <c r="AN46" s="110"/>
      <c r="AO46" s="110"/>
      <c r="AP46" s="124"/>
      <c r="AQ46" s="126"/>
      <c r="AR46" s="113"/>
      <c r="AS46" s="113"/>
      <c r="AT46" s="113"/>
      <c r="AU46" s="120"/>
      <c r="AV46" s="113"/>
      <c r="AW46" s="114"/>
      <c r="AX46" s="110"/>
      <c r="AY46" s="127"/>
      <c r="AZ46" s="119"/>
      <c r="BA46" s="119"/>
      <c r="BB46" s="243"/>
      <c r="BC46" s="121"/>
      <c r="BG46" s="144"/>
      <c r="BR46" s="314"/>
      <c r="BS46" s="314"/>
      <c r="BT46" s="314"/>
      <c r="BU46" s="576" t="s">
        <v>240</v>
      </c>
      <c r="BV46" s="630">
        <f>SUM(BV44:BV45)/BV47</f>
        <v>0.68528216044208023</v>
      </c>
      <c r="BW46" s="631">
        <f t="shared" ref="BW46:BZ46" si="9">SUM(BW44:BW45)/BW47</f>
        <v>0.7026629776578116</v>
      </c>
      <c r="BX46" s="328">
        <f t="shared" si="9"/>
        <v>0.71945601604792864</v>
      </c>
      <c r="BY46" s="328">
        <f t="shared" si="9"/>
        <v>0.7323658585559143</v>
      </c>
      <c r="BZ46" s="328">
        <f t="shared" si="9"/>
        <v>0.77165793599451349</v>
      </c>
      <c r="CA46" s="328">
        <f t="shared" si="7"/>
        <v>0.12604410349265716</v>
      </c>
      <c r="CB46" s="593">
        <f t="shared" si="8"/>
        <v>3.0122445507723583E-2</v>
      </c>
      <c r="CC46" s="314"/>
    </row>
    <row r="47" spans="1:81" s="106" customFormat="1" ht="13.5" thickBot="1">
      <c r="A47" s="699"/>
      <c r="B47" s="131" t="s">
        <v>37</v>
      </c>
      <c r="C47" s="132" t="s">
        <v>1</v>
      </c>
      <c r="D47" s="109"/>
      <c r="E47" s="110"/>
      <c r="F47" s="110"/>
      <c r="G47" s="63"/>
      <c r="H47" s="130">
        <f>'[2]Fly ash'!$F$231</f>
        <v>0</v>
      </c>
      <c r="I47" s="112"/>
      <c r="J47" s="113"/>
      <c r="K47" s="113"/>
      <c r="L47" s="114"/>
      <c r="M47" s="110"/>
      <c r="N47" s="127"/>
      <c r="O47" s="119"/>
      <c r="P47" s="119"/>
      <c r="Q47" s="113">
        <f>H47</f>
        <v>0</v>
      </c>
      <c r="R47" s="115">
        <f>Q47/[2]Popn!$F$43*1000</f>
        <v>0</v>
      </c>
      <c r="T47" s="109"/>
      <c r="U47" s="110"/>
      <c r="V47" s="110"/>
      <c r="W47" s="203">
        <f>[2]SA!P66</f>
        <v>200000</v>
      </c>
      <c r="X47" s="130"/>
      <c r="Y47" s="130"/>
      <c r="Z47" s="130"/>
      <c r="AA47" s="285"/>
      <c r="AB47" s="113"/>
      <c r="AC47" s="113"/>
      <c r="AD47" s="113"/>
      <c r="AE47" s="113"/>
      <c r="AF47" s="117"/>
      <c r="AG47" s="112"/>
      <c r="AH47" s="113"/>
      <c r="AI47" s="113"/>
      <c r="AJ47" s="114">
        <f t="shared" si="0"/>
        <v>200000</v>
      </c>
      <c r="AK47" s="115">
        <f>AJ47/[2]Popn!$F$43*1000</f>
        <v>122.33220227017983</v>
      </c>
      <c r="AL47" s="119"/>
      <c r="AM47" s="109"/>
      <c r="AN47" s="110"/>
      <c r="AO47" s="110"/>
      <c r="AP47" s="111"/>
      <c r="AQ47" s="117"/>
      <c r="AR47" s="113"/>
      <c r="AS47" s="113"/>
      <c r="AT47" s="113"/>
      <c r="AU47" s="120"/>
      <c r="AV47" s="113"/>
      <c r="AW47" s="114"/>
      <c r="AX47" s="110"/>
      <c r="AY47" s="127"/>
      <c r="AZ47" s="119"/>
      <c r="BA47" s="119"/>
      <c r="BB47" s="243"/>
      <c r="BC47" s="121"/>
      <c r="BG47" s="144"/>
      <c r="BR47" s="314"/>
      <c r="BS47" s="314"/>
      <c r="BT47" s="314"/>
      <c r="BU47" s="576" t="s">
        <v>191</v>
      </c>
      <c r="BV47" s="577">
        <f>SUM(BV43:BV45)</f>
        <v>2.0332316044435861</v>
      </c>
      <c r="BW47" s="578">
        <f>SUM(BW43:BW45)</f>
        <v>2.0688145185327085</v>
      </c>
      <c r="BX47" s="579">
        <f>SUM(BX43:BX45)</f>
        <v>2.1043974326218309</v>
      </c>
      <c r="BY47" s="579">
        <f>SUM(BY43:BY45)</f>
        <v>2.0643843486060374</v>
      </c>
      <c r="BZ47" s="579">
        <f>SUM(BZ43:BZ45)</f>
        <v>2.3645865658959186</v>
      </c>
      <c r="CA47" s="580">
        <f t="shared" si="7"/>
        <v>0.16296960991957979</v>
      </c>
      <c r="CB47" s="652">
        <f t="shared" si="8"/>
        <v>3.8465544463964774E-2</v>
      </c>
      <c r="CC47" s="314"/>
    </row>
    <row r="48" spans="1:81" ht="13.5" thickBot="1">
      <c r="B48" s="19"/>
      <c r="C48" s="38"/>
      <c r="D48" s="57"/>
      <c r="E48" s="2"/>
      <c r="F48" s="2"/>
      <c r="G48" s="63"/>
      <c r="H48" s="2"/>
      <c r="I48" s="20"/>
      <c r="J48" s="21"/>
      <c r="K48" s="21"/>
      <c r="L48" s="22"/>
      <c r="M48" s="2"/>
      <c r="N48" s="23"/>
      <c r="O48" s="19"/>
      <c r="P48" s="19"/>
      <c r="Q48" s="19"/>
      <c r="R48" s="24"/>
      <c r="T48" s="57"/>
      <c r="U48" s="2"/>
      <c r="V48" s="2"/>
      <c r="W48" s="63"/>
      <c r="X48" s="2"/>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243"/>
      <c r="BC48" s="24"/>
      <c r="BR48" s="317"/>
      <c r="BS48" s="317"/>
      <c r="BT48" s="317"/>
      <c r="BU48" s="314"/>
      <c r="BV48" s="314"/>
      <c r="BW48" s="314"/>
      <c r="BX48" s="314"/>
      <c r="BY48" s="314"/>
      <c r="BZ48" s="314"/>
      <c r="CA48" s="314"/>
      <c r="CB48" s="653"/>
      <c r="CC48" s="317"/>
    </row>
    <row r="49" spans="1:81" ht="13.5" thickBot="1">
      <c r="C49" s="210" t="s">
        <v>88</v>
      </c>
      <c r="D49" s="58"/>
      <c r="E49" s="59"/>
      <c r="F49" s="2"/>
      <c r="G49" s="208"/>
      <c r="H49" s="2"/>
      <c r="I49" s="20"/>
      <c r="J49" s="21"/>
      <c r="K49" s="21"/>
      <c r="L49" s="22"/>
      <c r="M49" s="2"/>
      <c r="N49" s="23"/>
      <c r="O49" s="19"/>
      <c r="P49" s="19"/>
      <c r="Q49" s="19"/>
      <c r="R49" s="24"/>
      <c r="T49" s="58"/>
      <c r="U49" s="59"/>
      <c r="V49" s="2"/>
      <c r="W49" s="65"/>
      <c r="X49" s="198"/>
      <c r="Y49" s="198"/>
      <c r="Z49" s="198"/>
      <c r="AA49" s="274"/>
      <c r="AB49" s="21"/>
      <c r="AC49" s="21"/>
      <c r="AD49" s="21"/>
      <c r="AE49" s="21"/>
      <c r="AF49" s="70"/>
      <c r="AG49" s="20"/>
      <c r="AH49" s="21"/>
      <c r="AI49" s="21"/>
      <c r="AJ49" s="22"/>
      <c r="AK49" s="40"/>
      <c r="AL49" s="19"/>
      <c r="AM49" s="58"/>
      <c r="AN49" s="59"/>
      <c r="AO49" s="2"/>
      <c r="AP49" s="65"/>
      <c r="AQ49" s="68"/>
      <c r="AR49" s="21"/>
      <c r="AS49" s="21"/>
      <c r="AT49" s="21"/>
      <c r="AU49" s="25"/>
      <c r="AV49" s="21"/>
      <c r="AW49" s="22"/>
      <c r="AX49" s="2"/>
      <c r="AY49" s="23"/>
      <c r="AZ49" s="19"/>
      <c r="BA49" s="19"/>
      <c r="BB49" s="243"/>
      <c r="BC49" s="24"/>
      <c r="BR49" s="317"/>
      <c r="BS49" s="317"/>
      <c r="BT49" s="317"/>
      <c r="BU49" s="317"/>
      <c r="BV49" s="317"/>
      <c r="BW49" s="317"/>
      <c r="BX49" s="317"/>
      <c r="BY49" s="317"/>
      <c r="BZ49" s="317"/>
      <c r="CA49" s="317"/>
      <c r="CB49" s="654"/>
      <c r="CC49" s="317"/>
    </row>
    <row r="50" spans="1:81" ht="13.5" thickBot="1">
      <c r="C50" s="135" t="s">
        <v>92</v>
      </c>
      <c r="D50" s="291">
        <f>$G50/100*[2]SA!$I$131</f>
        <v>347040</v>
      </c>
      <c r="E50" s="291">
        <f>$G50/100*[2]SA!$I$132</f>
        <v>183160</v>
      </c>
      <c r="F50" s="291">
        <f>$G50/100*[2]SA!$I$133</f>
        <v>433800</v>
      </c>
      <c r="G50" s="66">
        <f>[2]SA!$P$23</f>
        <v>964000</v>
      </c>
      <c r="H50" s="62"/>
      <c r="I50" s="41">
        <f>SUM(I46,I41,I38,I37,I27,I22,I16,I12)</f>
        <v>347040</v>
      </c>
      <c r="J50" s="218">
        <f>SUM(J46,J41,J38,J37,J27,J22,J16,J12)</f>
        <v>183160.00000000003</v>
      </c>
      <c r="K50" s="218">
        <f>SUM(K46,K41,K38,K37,K27,K22,K16,K12)</f>
        <v>433744.84218399413</v>
      </c>
      <c r="L50" s="42">
        <f>SUM(L46,L41,L38,L37,L27,L22,L16,L12)</f>
        <v>963944.84218399413</v>
      </c>
      <c r="M50" s="43"/>
      <c r="N50" s="44">
        <f>SUM(N46,N41,N38,N37,N27,N22,N16,N12)</f>
        <v>306980.64209297596</v>
      </c>
      <c r="O50" s="45">
        <f>SUM(O46,O41,O38,O37,O27,O22,O16,O12)</f>
        <v>163923.52803554901</v>
      </c>
      <c r="P50" s="45">
        <f>SUM(P46,P41,P38,P37,P27,P22,P16,P12)</f>
        <v>411830.82026073255</v>
      </c>
      <c r="Q50" s="133">
        <f>SUM(Q46,Q41,Q38,Q37,Q27,Q22,Q16,Q12,Q49)</f>
        <v>882734.99038925767</v>
      </c>
      <c r="R50" s="27">
        <f>SUM(R46,R41,R38,R37,R27,R22,R16,R12)</f>
        <v>539.93457697631948</v>
      </c>
      <c r="T50" s="60"/>
      <c r="U50" s="706"/>
      <c r="V50" s="707"/>
      <c r="W50" s="66"/>
      <c r="X50" s="362"/>
      <c r="Y50" s="362"/>
      <c r="Z50" s="362"/>
      <c r="AA50" s="287"/>
      <c r="AB50" s="45"/>
      <c r="AC50" s="45"/>
      <c r="AD50" s="45"/>
      <c r="AE50" s="45"/>
      <c r="AF50" s="85"/>
      <c r="AG50" s="44">
        <f>$AJ$50*[2]SA!L86</f>
        <v>437984.61538461543</v>
      </c>
      <c r="AH50" s="45">
        <f>$AJ$50*[2]SA!M86</f>
        <v>1194503.4965034965</v>
      </c>
      <c r="AI50" s="45">
        <f>$AJ$50*[2]SA!N86</f>
        <v>1214411.888111888</v>
      </c>
      <c r="AJ50" s="133">
        <f>SUM(AJ46,AJ41,AJ38,AJ37,AJ27,AJ22,AJ16,AJ12)</f>
        <v>2846900</v>
      </c>
      <c r="AK50" s="27">
        <f>SUM(AK46,AK41,AK38,AK37,AK27,AK22,AK16,AK12)</f>
        <v>1741.3377332148748</v>
      </c>
      <c r="AL50" s="19"/>
      <c r="AM50" s="60"/>
      <c r="AN50" s="706"/>
      <c r="AO50" s="707"/>
      <c r="AP50" s="66"/>
      <c r="AQ50" s="71"/>
      <c r="AR50" s="43"/>
      <c r="AS50" s="46">
        <f>SUM(AS7:AS49)</f>
        <v>1</v>
      </c>
      <c r="AT50" s="214">
        <f>SUM(AT46,AT41,AT38,AT37,AT27,AT22,AT16,AT12)</f>
        <v>81209.851794736547</v>
      </c>
      <c r="AU50" s="47"/>
      <c r="AV50" s="45"/>
      <c r="AW50" s="214"/>
      <c r="AX50" s="43"/>
      <c r="AY50" s="44">
        <f>SUM(AY46,AY41,AY38,AY37,AY27,AY22,AY16,AY12)</f>
        <v>40059.357907024052</v>
      </c>
      <c r="AZ50" s="45">
        <f>SUM(AZ46,AZ41,AZ38,AZ37,AZ27,AZ22,AZ16,AZ12)</f>
        <v>74236.471964451019</v>
      </c>
      <c r="BA50" s="45">
        <f>SUM(BA46,BA41,BA38,BA37,BA27,BA22,BA16,BA12)</f>
        <v>21914.021923261469</v>
      </c>
      <c r="BB50" s="354">
        <f>SUM(BB46,BB41,BB38,BB37,BB27,BB22,BB16,BB12,BB49)</f>
        <v>136209.85179473655</v>
      </c>
      <c r="BC50" s="27">
        <f>SUM(BC46,BC41,BC38,BC37,BC27,BC22,BC16,BC12,BC49)</f>
        <v>83.314255704724644</v>
      </c>
      <c r="BR50" s="317"/>
      <c r="BS50" s="317"/>
      <c r="BT50" s="317"/>
      <c r="BU50" s="317"/>
      <c r="BV50" s="317"/>
      <c r="BW50" s="317"/>
      <c r="BX50" s="317"/>
      <c r="BY50" s="317"/>
      <c r="BZ50" s="317"/>
      <c r="CA50" s="317"/>
      <c r="CB50" s="654"/>
      <c r="CC50" s="317"/>
    </row>
    <row r="51" spans="1:81" ht="13.5" thickBot="1">
      <c r="C51" s="136" t="s">
        <v>65</v>
      </c>
      <c r="Q51" s="49">
        <f>Q50+Q47</f>
        <v>882734.99038925767</v>
      </c>
      <c r="R51" s="216">
        <f>R50+R47</f>
        <v>539.93457697631948</v>
      </c>
      <c r="AJ51" s="49">
        <f>AJ50+AJ47</f>
        <v>3046900</v>
      </c>
      <c r="AK51" s="216">
        <f>AK50+W47/[2]Popn!$F$43*1000</f>
        <v>1863.6699354850546</v>
      </c>
      <c r="AW51" s="152"/>
      <c r="BB51" s="353">
        <f>BB50+BB47</f>
        <v>136209.85179473655</v>
      </c>
      <c r="BC51" s="216">
        <f>BC50+BC47</f>
        <v>83.314255704724644</v>
      </c>
      <c r="BR51" s="317"/>
      <c r="BS51" s="317"/>
      <c r="BT51" s="317"/>
      <c r="BU51" s="317"/>
      <c r="BV51" s="317"/>
      <c r="BW51" s="317"/>
      <c r="BX51" s="317"/>
      <c r="BY51" s="317"/>
      <c r="BZ51" s="317"/>
      <c r="CA51" s="317"/>
      <c r="CB51" s="654"/>
      <c r="CC51" s="317"/>
    </row>
    <row r="52" spans="1:81">
      <c r="BR52" s="317"/>
      <c r="BS52" s="317"/>
      <c r="BT52" s="317"/>
      <c r="BU52" s="317"/>
      <c r="BV52" s="317"/>
      <c r="BW52" s="317"/>
      <c r="BX52" s="317"/>
      <c r="BY52" s="317"/>
      <c r="BZ52" s="317"/>
      <c r="CA52" s="317"/>
      <c r="CB52" s="654"/>
      <c r="CC52" s="317"/>
    </row>
    <row r="53" spans="1:81" ht="13.5" thickBot="1">
      <c r="AT53" s="215"/>
      <c r="AU53" s="215"/>
      <c r="AV53" s="215"/>
      <c r="AW53" s="215"/>
      <c r="AY53" s="215"/>
      <c r="AZ53" s="215"/>
      <c r="BA53" s="215"/>
      <c r="BB53" s="215"/>
      <c r="BR53" s="317"/>
      <c r="BS53" s="317"/>
      <c r="BT53" s="317"/>
      <c r="BU53" s="317"/>
      <c r="BV53" s="317"/>
      <c r="BW53" s="317"/>
      <c r="BX53" s="317"/>
      <c r="BY53" s="317"/>
      <c r="BZ53" s="317"/>
      <c r="CA53" s="317"/>
      <c r="CB53" s="654"/>
      <c r="CC53" s="317"/>
    </row>
    <row r="54" spans="1:81">
      <c r="A54" s="699" t="s">
        <v>81</v>
      </c>
      <c r="B54" s="16" t="s">
        <v>3</v>
      </c>
      <c r="C54" s="148" t="s">
        <v>16</v>
      </c>
      <c r="D54" s="55"/>
      <c r="E54" s="56"/>
      <c r="F54" s="56"/>
      <c r="G54" s="149"/>
      <c r="H54" s="150"/>
      <c r="I54" s="151"/>
      <c r="J54" s="26"/>
      <c r="K54" s="26"/>
      <c r="L54" s="133"/>
      <c r="M54" s="56"/>
      <c r="N54" s="16"/>
      <c r="O54" s="18"/>
      <c r="P54" s="18"/>
      <c r="Q54" s="244"/>
      <c r="R54" s="28"/>
      <c r="S54" s="152"/>
      <c r="T54" s="55"/>
      <c r="U54" s="56"/>
      <c r="V54" s="56"/>
      <c r="W54" s="213">
        <f>[2]SA!O40</f>
        <v>131000</v>
      </c>
      <c r="X54" s="197"/>
      <c r="Y54" s="197"/>
      <c r="Z54" s="197"/>
      <c r="AA54" s="290"/>
      <c r="AB54" s="26"/>
      <c r="AC54" s="26"/>
      <c r="AD54" s="26"/>
      <c r="AE54" s="26"/>
      <c r="AF54" s="84"/>
      <c r="AG54" s="151"/>
      <c r="AH54" s="26"/>
      <c r="AI54" s="26"/>
      <c r="AJ54" s="133">
        <f>W54</f>
        <v>131000</v>
      </c>
      <c r="AK54" s="27">
        <f>AJ54/[2]Popn!$F$42*1000</f>
        <v>80.638956002523813</v>
      </c>
      <c r="AL54" s="18"/>
      <c r="AM54" s="55"/>
      <c r="AN54" s="56"/>
      <c r="AO54" s="56"/>
      <c r="AP54" s="149"/>
      <c r="AQ54" s="153"/>
      <c r="AR54" s="26"/>
      <c r="AS54" s="26"/>
      <c r="AT54" s="21"/>
      <c r="AU54" s="25"/>
      <c r="AV54" s="21"/>
      <c r="AW54" s="22"/>
      <c r="AX54" s="56"/>
      <c r="AY54" s="23"/>
      <c r="AZ54" s="18"/>
      <c r="BA54" s="19"/>
      <c r="BB54" s="19"/>
      <c r="BC54" s="28"/>
      <c r="BD54" s="571"/>
      <c r="BH54" s="700" t="s">
        <v>86</v>
      </c>
      <c r="BI54" s="701"/>
      <c r="BJ54" s="701"/>
      <c r="BK54" s="701"/>
      <c r="BL54" s="702"/>
      <c r="BM54" s="700" t="s">
        <v>87</v>
      </c>
      <c r="BN54" s="702"/>
      <c r="BP54" s="8"/>
      <c r="BQ54" s="8"/>
      <c r="BR54" s="325"/>
      <c r="BS54" s="325"/>
      <c r="BT54" s="325"/>
      <c r="BU54" s="317"/>
      <c r="BV54" s="317"/>
      <c r="BW54" s="317"/>
      <c r="BX54" s="317"/>
      <c r="BY54" s="317"/>
      <c r="BZ54" s="317"/>
      <c r="CA54" s="317"/>
      <c r="CB54" s="654"/>
      <c r="CC54" s="317"/>
    </row>
    <row r="55" spans="1:81">
      <c r="A55" s="699"/>
      <c r="B55" s="23"/>
      <c r="C55" s="17" t="s">
        <v>17</v>
      </c>
      <c r="D55" s="57"/>
      <c r="E55" s="2"/>
      <c r="F55" s="2"/>
      <c r="G55" s="63"/>
      <c r="H55" s="5"/>
      <c r="I55" s="20"/>
      <c r="J55" s="21"/>
      <c r="K55" s="21"/>
      <c r="L55" s="22"/>
      <c r="M55" s="2"/>
      <c r="N55" s="23"/>
      <c r="O55" s="19"/>
      <c r="P55" s="19"/>
      <c r="Q55" s="19"/>
      <c r="R55" s="24"/>
      <c r="T55" s="57"/>
      <c r="U55" s="2"/>
      <c r="V55" s="2"/>
      <c r="W55" s="199">
        <f>[2]SA!O41</f>
        <v>77000</v>
      </c>
      <c r="X55" s="198"/>
      <c r="Y55" s="198"/>
      <c r="Z55" s="198"/>
      <c r="AA55" s="272"/>
      <c r="AB55" s="21"/>
      <c r="AC55" s="21"/>
      <c r="AD55" s="21"/>
      <c r="AE55" s="21"/>
      <c r="AF55" s="70"/>
      <c r="AG55" s="20"/>
      <c r="AH55" s="21"/>
      <c r="AI55" s="21"/>
      <c r="AJ55" s="22">
        <f t="shared" ref="AJ55:AJ94" si="10">W55</f>
        <v>77000</v>
      </c>
      <c r="AK55" s="29">
        <f>AJ55/[2]Popn!$F$42*1000</f>
        <v>47.398470322094148</v>
      </c>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6"/>
      <c r="BU55" s="325"/>
      <c r="BV55" s="317"/>
      <c r="BW55" s="317"/>
      <c r="BX55" s="317"/>
      <c r="BY55" s="317"/>
      <c r="BZ55" s="317"/>
      <c r="CA55" s="317"/>
      <c r="CB55" s="654"/>
      <c r="CC55" s="317"/>
    </row>
    <row r="56" spans="1:81">
      <c r="A56" s="699"/>
      <c r="B56" s="23"/>
      <c r="C56" s="17" t="s">
        <v>18</v>
      </c>
      <c r="D56" s="57"/>
      <c r="E56" s="2"/>
      <c r="F56" s="2"/>
      <c r="G56" s="63"/>
      <c r="H56" s="5"/>
      <c r="I56" s="20"/>
      <c r="J56" s="21"/>
      <c r="K56" s="21"/>
      <c r="L56" s="22"/>
      <c r="M56" s="2"/>
      <c r="N56" s="23"/>
      <c r="O56" s="19"/>
      <c r="P56" s="19"/>
      <c r="Q56" s="19"/>
      <c r="R56" s="24"/>
      <c r="T56" s="57"/>
      <c r="U56" s="2"/>
      <c r="V56" s="2"/>
      <c r="W56" s="199">
        <f>[2]SA!O42</f>
        <v>790000</v>
      </c>
      <c r="X56" s="198"/>
      <c r="Y56" s="198"/>
      <c r="Z56" s="198"/>
      <c r="AA56" s="272"/>
      <c r="AB56" s="21"/>
      <c r="AC56" s="21"/>
      <c r="AD56" s="21"/>
      <c r="AE56" s="21"/>
      <c r="AF56" s="70"/>
      <c r="AG56" s="20"/>
      <c r="AH56" s="21"/>
      <c r="AI56" s="21"/>
      <c r="AJ56" s="22">
        <f t="shared" si="10"/>
        <v>790000</v>
      </c>
      <c r="AK56" s="29">
        <f>AJ56/[2]Popn!$F$42*1000</f>
        <v>486.29599421369323</v>
      </c>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8"/>
      <c r="BU56" s="326"/>
      <c r="BV56" s="317"/>
      <c r="BW56" s="317"/>
      <c r="BX56" s="317"/>
      <c r="BY56" s="317"/>
      <c r="BZ56" s="317"/>
      <c r="CA56" s="317"/>
      <c r="CB56" s="654"/>
      <c r="CC56" s="317"/>
    </row>
    <row r="57" spans="1:81">
      <c r="A57" s="699"/>
      <c r="B57" s="23"/>
      <c r="C57" s="17" t="s">
        <v>182</v>
      </c>
      <c r="D57" s="57"/>
      <c r="E57" s="2"/>
      <c r="F57" s="2"/>
      <c r="G57" s="63"/>
      <c r="H57" s="2"/>
      <c r="I57" s="20"/>
      <c r="J57" s="21"/>
      <c r="K57" s="21"/>
      <c r="L57" s="22"/>
      <c r="M57" s="2"/>
      <c r="N57" s="23"/>
      <c r="O57" s="19"/>
      <c r="P57" s="19"/>
      <c r="Q57" s="19"/>
      <c r="R57" s="24"/>
      <c r="T57" s="57"/>
      <c r="U57" s="2"/>
      <c r="V57" s="2"/>
      <c r="W57" s="199">
        <f>[2]SA!O43</f>
        <v>11900</v>
      </c>
      <c r="X57" s="198"/>
      <c r="Y57" s="198"/>
      <c r="Z57" s="198"/>
      <c r="AA57" s="274"/>
      <c r="AB57" s="21"/>
      <c r="AC57" s="21"/>
      <c r="AD57" s="21"/>
      <c r="AE57" s="21"/>
      <c r="AF57" s="70"/>
      <c r="AG57" s="20"/>
      <c r="AH57" s="21"/>
      <c r="AI57" s="21"/>
      <c r="AJ57" s="22">
        <f t="shared" si="10"/>
        <v>11900</v>
      </c>
      <c r="AK57" s="29">
        <f>AJ57/[2]Popn!$F$42*1000</f>
        <v>7.3252181406872774</v>
      </c>
      <c r="AL57" s="19"/>
      <c r="AM57" s="57"/>
      <c r="AN57" s="2"/>
      <c r="AO57" s="2"/>
      <c r="AP57" s="63"/>
      <c r="AQ57" s="68"/>
      <c r="AR57" s="21"/>
      <c r="AS57" s="21"/>
      <c r="AT57" s="21"/>
      <c r="AU57" s="25"/>
      <c r="AV57" s="21"/>
      <c r="AW57" s="22"/>
      <c r="AX57" s="2"/>
      <c r="AY57" s="23"/>
      <c r="AZ57" s="19"/>
      <c r="BA57" s="19"/>
      <c r="BB57" s="19"/>
      <c r="BC57" s="24"/>
      <c r="BD57" s="30"/>
      <c r="BG57" s="145" t="s">
        <v>72</v>
      </c>
      <c r="BH57" s="52">
        <f>N97/1000</f>
        <v>312.52403113458848</v>
      </c>
      <c r="BI57" s="52">
        <f>O97/1000</f>
        <v>166.28167425128237</v>
      </c>
      <c r="BJ57" s="52">
        <f>P97/1000</f>
        <v>418.74392295947325</v>
      </c>
      <c r="BK57" s="53">
        <f>Q97/1000</f>
        <v>897.54962834534399</v>
      </c>
      <c r="BL57" s="54">
        <f>R97/1000</f>
        <v>0.5524997327497847</v>
      </c>
      <c r="BM57" s="51">
        <f>Q98/1000</f>
        <v>897.54962834534399</v>
      </c>
      <c r="BN57" s="54">
        <f>R98/1000</f>
        <v>0.5524997327497847</v>
      </c>
      <c r="BP57" s="30"/>
      <c r="BQ57" s="30"/>
      <c r="BR57" s="327"/>
      <c r="BS57" s="328"/>
      <c r="BT57" s="328"/>
      <c r="BU57" s="329"/>
      <c r="BV57" s="317"/>
      <c r="BW57" s="317"/>
      <c r="BX57" s="317"/>
      <c r="BY57" s="317"/>
      <c r="BZ57" s="317"/>
      <c r="CA57" s="317"/>
      <c r="CB57" s="654"/>
      <c r="CC57" s="317"/>
    </row>
    <row r="58" spans="1:81">
      <c r="A58" s="699"/>
      <c r="B58" s="23"/>
      <c r="C58" s="17" t="s">
        <v>183</v>
      </c>
      <c r="D58" s="57"/>
      <c r="E58" s="2"/>
      <c r="F58" s="2"/>
      <c r="G58" s="63"/>
      <c r="H58" s="2"/>
      <c r="I58" s="20"/>
      <c r="J58" s="21"/>
      <c r="K58" s="21"/>
      <c r="L58" s="22"/>
      <c r="M58" s="2"/>
      <c r="N58" s="23"/>
      <c r="O58" s="19"/>
      <c r="P58" s="19"/>
      <c r="Q58" s="19"/>
      <c r="R58" s="33"/>
      <c r="T58" s="57"/>
      <c r="U58" s="2"/>
      <c r="V58" s="2"/>
      <c r="W58" s="199">
        <f>[2]SA!O44</f>
        <v>0</v>
      </c>
      <c r="X58" s="198"/>
      <c r="Y58" s="198"/>
      <c r="Z58" s="198"/>
      <c r="AA58" s="274"/>
      <c r="AB58" s="21"/>
      <c r="AC58" s="21"/>
      <c r="AD58" s="21"/>
      <c r="AE58" s="21"/>
      <c r="AF58" s="70"/>
      <c r="AG58" s="20"/>
      <c r="AH58" s="21"/>
      <c r="AI58" s="21"/>
      <c r="AJ58" s="22">
        <f t="shared" si="10"/>
        <v>0</v>
      </c>
      <c r="AK58" s="29">
        <f>AJ58/[2]Popn!$F$42*1000</f>
        <v>0</v>
      </c>
      <c r="AL58" s="19"/>
      <c r="AM58" s="57"/>
      <c r="AN58" s="2"/>
      <c r="AO58" s="2"/>
      <c r="AP58" s="63"/>
      <c r="AQ58" s="68"/>
      <c r="AR58" s="21"/>
      <c r="AS58" s="21"/>
      <c r="AT58" s="21"/>
      <c r="AU58" s="25"/>
      <c r="AV58" s="21"/>
      <c r="AW58" s="22"/>
      <c r="AX58" s="2"/>
      <c r="AY58" s="23"/>
      <c r="AZ58" s="19"/>
      <c r="BA58" s="19"/>
      <c r="BB58" s="19"/>
      <c r="BC58" s="24"/>
      <c r="BD58" s="30"/>
      <c r="BG58" s="77" t="s">
        <v>68</v>
      </c>
      <c r="BH58" s="52">
        <f>AG97/1000</f>
        <v>340.02615384615387</v>
      </c>
      <c r="BI58" s="52">
        <f>AH97/1000</f>
        <v>950.07307692307688</v>
      </c>
      <c r="BJ58" s="52">
        <f>AI97/1000</f>
        <v>1050.0807692307692</v>
      </c>
      <c r="BK58" s="53">
        <f>AJ97/1000</f>
        <v>2340.1799999999998</v>
      </c>
      <c r="BL58" s="54">
        <f>AK97/1000</f>
        <v>1.4279250857943093</v>
      </c>
      <c r="BM58" s="51">
        <f>AJ98/1000</f>
        <v>2510.1799999999998</v>
      </c>
      <c r="BN58" s="54">
        <f>AK98/1000</f>
        <v>1.5325710592326991</v>
      </c>
      <c r="BR58" s="317"/>
      <c r="BS58" s="317"/>
      <c r="BT58" s="317"/>
      <c r="BU58" s="329"/>
      <c r="BV58" s="317"/>
      <c r="BW58" s="317"/>
      <c r="BX58" s="317"/>
      <c r="BY58" s="317"/>
      <c r="BZ58" s="317"/>
      <c r="CA58" s="317"/>
      <c r="CB58" s="654"/>
      <c r="CC58" s="317"/>
    </row>
    <row r="59" spans="1:81" s="106" customFormat="1">
      <c r="A59" s="699"/>
      <c r="B59" s="107" t="s">
        <v>67</v>
      </c>
      <c r="C59" s="108"/>
      <c r="D59" s="109"/>
      <c r="E59" s="110"/>
      <c r="F59" s="110"/>
      <c r="G59" s="111"/>
      <c r="H59" s="110"/>
      <c r="I59" s="112">
        <f>D97*[2]SA!$K$360</f>
        <v>10079.29626381874</v>
      </c>
      <c r="J59" s="113">
        <f>(E97-G92)*[2]SA!L$225</f>
        <v>9548.6567690782995</v>
      </c>
      <c r="K59" s="113">
        <f>F97*[2]SA!M$225</f>
        <v>119363.67801047121</v>
      </c>
      <c r="L59" s="114">
        <f>SUM(I59:K59)</f>
        <v>138991.63104336825</v>
      </c>
      <c r="M59" s="110"/>
      <c r="N59" s="112">
        <f>I59-AU59</f>
        <v>10079.29626381874</v>
      </c>
      <c r="O59" s="113">
        <f>J59-AV59</f>
        <v>9548.6567690782995</v>
      </c>
      <c r="P59" s="113">
        <f>K59-AW59</f>
        <v>119363.67801047121</v>
      </c>
      <c r="Q59" s="114">
        <f>SUM(N59:P59)</f>
        <v>138991.63104336825</v>
      </c>
      <c r="R59" s="115">
        <f>Q59/[2]Popn!$F$42*1000</f>
        <v>85.558320766604552</v>
      </c>
      <c r="T59" s="109"/>
      <c r="U59" s="110"/>
      <c r="V59" s="110"/>
      <c r="W59" s="203">
        <f>SUM(W54:W58)</f>
        <v>1009900</v>
      </c>
      <c r="X59" s="130"/>
      <c r="Y59" s="130"/>
      <c r="Z59" s="130"/>
      <c r="AA59" s="276"/>
      <c r="AB59" s="113"/>
      <c r="AC59" s="113"/>
      <c r="AD59" s="113"/>
      <c r="AE59" s="113"/>
      <c r="AF59" s="117"/>
      <c r="AG59" s="112"/>
      <c r="AH59" s="113"/>
      <c r="AI59" s="113"/>
      <c r="AJ59" s="114">
        <f t="shared" si="10"/>
        <v>1009900</v>
      </c>
      <c r="AK59" s="118">
        <f>SUM(AK54:AK58)</f>
        <v>621.6586386789985</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39.915968865411614</v>
      </c>
      <c r="BI59" s="52">
        <f>AZ97/1000</f>
        <v>74.728325748717737</v>
      </c>
      <c r="BJ59" s="52">
        <f>BA97/1000</f>
        <v>21.750060959748936</v>
      </c>
      <c r="BK59" s="53">
        <f>BB97/1000</f>
        <v>136.39435557387827</v>
      </c>
      <c r="BL59" s="54">
        <f>BC97/1000</f>
        <v>8.3959530061943219E-2</v>
      </c>
      <c r="BM59" s="51">
        <f>BB98/1000</f>
        <v>136.39435557387827</v>
      </c>
      <c r="BN59" s="54">
        <f>BC98/1000</f>
        <v>8.3959530061943219E-2</v>
      </c>
      <c r="BO59" s="6"/>
      <c r="BR59" s="314"/>
      <c r="BS59" s="314"/>
      <c r="BT59" s="314"/>
      <c r="BU59" s="317"/>
      <c r="BV59" s="317"/>
      <c r="BW59" s="317"/>
      <c r="BX59" s="317"/>
      <c r="BY59" s="317"/>
      <c r="BZ59" s="317"/>
      <c r="CA59" s="317"/>
      <c r="CB59" s="654"/>
      <c r="CC59" s="314"/>
    </row>
    <row r="60" spans="1:81">
      <c r="A60" s="699"/>
      <c r="B60" s="23" t="s">
        <v>4</v>
      </c>
      <c r="C60" s="17" t="s">
        <v>19</v>
      </c>
      <c r="D60" s="57"/>
      <c r="E60" s="2"/>
      <c r="F60" s="2"/>
      <c r="G60" s="63"/>
      <c r="H60" s="2"/>
      <c r="I60" s="20"/>
      <c r="J60" s="21"/>
      <c r="K60" s="21"/>
      <c r="L60" s="22"/>
      <c r="M60" s="2"/>
      <c r="N60" s="23"/>
      <c r="O60" s="19"/>
      <c r="P60" s="19"/>
      <c r="Q60" s="19"/>
      <c r="R60" s="33"/>
      <c r="T60" s="57"/>
      <c r="U60" s="2"/>
      <c r="V60" s="2"/>
      <c r="W60" s="199">
        <f>[2]SA!O45</f>
        <v>334000</v>
      </c>
      <c r="X60" s="198"/>
      <c r="Y60" s="198"/>
      <c r="Z60" s="198"/>
      <c r="AA60" s="274"/>
      <c r="AB60" s="21"/>
      <c r="AC60" s="21"/>
      <c r="AD60" s="21"/>
      <c r="AE60" s="21"/>
      <c r="AF60" s="70"/>
      <c r="AG60" s="20"/>
      <c r="AH60" s="21"/>
      <c r="AI60" s="21"/>
      <c r="AJ60" s="22">
        <f t="shared" si="10"/>
        <v>334000</v>
      </c>
      <c r="AK60" s="29">
        <f>AJ60/[2]Popn!$F$42*1000</f>
        <v>205.59855957895385</v>
      </c>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11">SUM(BH58:BH59)/BH61</f>
        <v>0.54867970167387803</v>
      </c>
      <c r="BI60" s="86">
        <f t="shared" si="11"/>
        <v>0.86039456233326939</v>
      </c>
      <c r="BJ60" s="86">
        <f t="shared" si="11"/>
        <v>0.71907217529711076</v>
      </c>
      <c r="BK60" s="87">
        <f t="shared" si="11"/>
        <v>0.73399032382242424</v>
      </c>
      <c r="BL60" s="87">
        <f t="shared" si="11"/>
        <v>0.7323658585559143</v>
      </c>
      <c r="BM60" s="88">
        <f t="shared" si="11"/>
        <v>0.74674993526812206</v>
      </c>
      <c r="BN60" s="87">
        <f t="shared" si="11"/>
        <v>0.74527800412258671</v>
      </c>
      <c r="BR60" s="317"/>
      <c r="BS60" s="317"/>
      <c r="BT60" s="317"/>
      <c r="BU60" s="314"/>
      <c r="BV60" s="314"/>
      <c r="BW60" s="314"/>
      <c r="BX60" s="314"/>
      <c r="BY60" s="314"/>
      <c r="BZ60" s="314"/>
      <c r="CA60" s="314"/>
      <c r="CB60" s="653"/>
      <c r="CC60" s="317"/>
    </row>
    <row r="61" spans="1:81">
      <c r="A61" s="699"/>
      <c r="B61" s="23"/>
      <c r="C61" s="17" t="s">
        <v>20</v>
      </c>
      <c r="D61" s="57"/>
      <c r="E61" s="2"/>
      <c r="F61" s="2"/>
      <c r="G61" s="63"/>
      <c r="H61" s="2"/>
      <c r="I61" s="20"/>
      <c r="J61" s="21"/>
      <c r="K61" s="21"/>
      <c r="L61" s="22"/>
      <c r="M61" s="2"/>
      <c r="N61" s="23"/>
      <c r="O61" s="19"/>
      <c r="P61" s="19"/>
      <c r="Q61" s="19"/>
      <c r="R61" s="33"/>
      <c r="T61" s="57"/>
      <c r="U61" s="2"/>
      <c r="V61" s="2"/>
      <c r="W61" s="199">
        <f>[2]SA!O46</f>
        <v>18200</v>
      </c>
      <c r="X61" s="198"/>
      <c r="Y61" s="198"/>
      <c r="Z61" s="198"/>
      <c r="AA61" s="274"/>
      <c r="AB61" s="21"/>
      <c r="AC61" s="21"/>
      <c r="AD61" s="21"/>
      <c r="AE61" s="21"/>
      <c r="AF61" s="70"/>
      <c r="AG61" s="20"/>
      <c r="AH61" s="21"/>
      <c r="AI61" s="21"/>
      <c r="AJ61" s="22">
        <f t="shared" si="10"/>
        <v>18200</v>
      </c>
      <c r="AK61" s="29">
        <f>AJ61/[2]Popn!$F$42*1000</f>
        <v>11.203274803404071</v>
      </c>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12">SUM(BH57:BH59)</f>
        <v>692.46615384615404</v>
      </c>
      <c r="BI61" s="52">
        <f t="shared" si="12"/>
        <v>1191.083076923077</v>
      </c>
      <c r="BJ61" s="52">
        <f t="shared" si="12"/>
        <v>1490.5747531499912</v>
      </c>
      <c r="BK61" s="74">
        <f t="shared" si="12"/>
        <v>3374.1239839192222</v>
      </c>
      <c r="BL61" s="76">
        <f t="shared" si="12"/>
        <v>2.0643843486060374</v>
      </c>
      <c r="BM61" s="81">
        <f t="shared" si="12"/>
        <v>3544.1239839192222</v>
      </c>
      <c r="BN61" s="76">
        <f t="shared" si="12"/>
        <v>2.1690303220444274</v>
      </c>
      <c r="BR61" s="317"/>
      <c r="BS61" s="317"/>
      <c r="BT61" s="317"/>
      <c r="BU61" s="317"/>
      <c r="BV61" s="317"/>
      <c r="BW61" s="317"/>
      <c r="BX61" s="317"/>
      <c r="BY61" s="317"/>
      <c r="BZ61" s="317"/>
      <c r="CA61" s="317"/>
      <c r="CB61" s="654"/>
      <c r="CC61" s="317"/>
    </row>
    <row r="62" spans="1:81">
      <c r="A62" s="699"/>
      <c r="B62" s="23"/>
      <c r="C62" s="17" t="s">
        <v>21</v>
      </c>
      <c r="D62" s="57"/>
      <c r="E62" s="2"/>
      <c r="F62" s="2"/>
      <c r="G62" s="63"/>
      <c r="H62" s="2"/>
      <c r="I62" s="20"/>
      <c r="J62" s="21"/>
      <c r="K62" s="21"/>
      <c r="L62" s="22"/>
      <c r="M62" s="2"/>
      <c r="N62" s="23"/>
      <c r="O62" s="19"/>
      <c r="P62" s="19"/>
      <c r="Q62" s="19"/>
      <c r="R62" s="33"/>
      <c r="T62" s="57"/>
      <c r="U62" s="2"/>
      <c r="V62" s="2"/>
      <c r="W62" s="199">
        <f>[2]SA!O47</f>
        <v>23600</v>
      </c>
      <c r="X62" s="198"/>
      <c r="Y62" s="198"/>
      <c r="Z62" s="198"/>
      <c r="AA62" s="274"/>
      <c r="AB62" s="21"/>
      <c r="AC62" s="21"/>
      <c r="AD62" s="21"/>
      <c r="AE62" s="21"/>
      <c r="AF62" s="70"/>
      <c r="AG62" s="20"/>
      <c r="AH62" s="21"/>
      <c r="AI62" s="21"/>
      <c r="AJ62" s="22">
        <f t="shared" si="10"/>
        <v>23600</v>
      </c>
      <c r="AK62" s="29">
        <f>AJ62/[2]Popn!$F$42*1000</f>
        <v>14.527323371447038</v>
      </c>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317"/>
      <c r="CB62" s="654"/>
      <c r="CC62" s="317"/>
    </row>
    <row r="63" spans="1:81" s="106" customFormat="1">
      <c r="A63" s="699"/>
      <c r="B63" s="107" t="s">
        <v>67</v>
      </c>
      <c r="C63" s="108"/>
      <c r="D63" s="109"/>
      <c r="E63" s="110"/>
      <c r="F63" s="110"/>
      <c r="G63" s="111"/>
      <c r="H63" s="110"/>
      <c r="I63" s="112">
        <f>D97*[2]SA!$K$361</f>
        <v>16206.363953145523</v>
      </c>
      <c r="J63" s="113">
        <f>(E97-G92)*[2]SA!L$226</f>
        <v>3546.3632650589152</v>
      </c>
      <c r="K63" s="113">
        <f>F97*[2]SA!M$226</f>
        <v>8951.0402019446519</v>
      </c>
      <c r="L63" s="114">
        <f>SUM(I63:K63)</f>
        <v>28703.767420149092</v>
      </c>
      <c r="M63" s="110"/>
      <c r="N63" s="112">
        <f>I63-AU63</f>
        <v>16206.363953145523</v>
      </c>
      <c r="O63" s="113">
        <f>J63-AV63</f>
        <v>3546.3632650589152</v>
      </c>
      <c r="P63" s="113">
        <f>K63-AW63</f>
        <v>8951.0402019446519</v>
      </c>
      <c r="Q63" s="114">
        <f>SUM(N63:P63)</f>
        <v>28703.767420149092</v>
      </c>
      <c r="R63" s="115">
        <f>Q63/[2]Popn!$F$42*1000</f>
        <v>17.669021664886102</v>
      </c>
      <c r="T63" s="109"/>
      <c r="U63" s="110"/>
      <c r="V63" s="110"/>
      <c r="W63" s="203">
        <f>SUM(W60:W62)</f>
        <v>375800</v>
      </c>
      <c r="X63" s="130"/>
      <c r="Y63" s="130"/>
      <c r="Z63" s="130"/>
      <c r="AA63" s="276"/>
      <c r="AB63" s="113"/>
      <c r="AC63" s="113"/>
      <c r="AD63" s="113"/>
      <c r="AE63" s="113"/>
      <c r="AF63" s="117"/>
      <c r="AG63" s="112"/>
      <c r="AH63" s="113"/>
      <c r="AI63" s="113"/>
      <c r="AJ63" s="114">
        <f t="shared" si="10"/>
        <v>375800</v>
      </c>
      <c r="AK63" s="118">
        <f>SUM(AK60:AK62)</f>
        <v>231.32915775380496</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4"/>
      <c r="BU63" s="317"/>
      <c r="BV63" s="317"/>
      <c r="BW63" s="317"/>
      <c r="BX63" s="317"/>
      <c r="BY63" s="317"/>
      <c r="BZ63" s="317"/>
      <c r="CA63" s="317"/>
      <c r="CB63" s="654"/>
      <c r="CC63" s="314"/>
    </row>
    <row r="64" spans="1:81">
      <c r="A64" s="699"/>
      <c r="B64" s="23" t="s">
        <v>2</v>
      </c>
      <c r="C64" s="17" t="s">
        <v>22</v>
      </c>
      <c r="D64" s="57"/>
      <c r="E64" s="2"/>
      <c r="F64" s="2"/>
      <c r="G64" s="63"/>
      <c r="H64" s="2"/>
      <c r="I64" s="20">
        <f>D97*[2]SA!$K$362</f>
        <v>156915.01326828747</v>
      </c>
      <c r="J64" s="21"/>
      <c r="K64" s="21"/>
      <c r="L64" s="22"/>
      <c r="M64" s="2"/>
      <c r="N64" s="20"/>
      <c r="O64" s="21"/>
      <c r="P64" s="21"/>
      <c r="Q64" s="21"/>
      <c r="R64" s="34"/>
      <c r="T64" s="57"/>
      <c r="U64" s="2"/>
      <c r="V64" s="2"/>
      <c r="W64" s="199">
        <f>[2]SA!O48</f>
        <v>5800</v>
      </c>
      <c r="X64" s="198"/>
      <c r="Y64" s="198"/>
      <c r="Z64" s="198"/>
      <c r="AA64" s="274"/>
      <c r="AB64" s="21"/>
      <c r="AC64" s="21"/>
      <c r="AD64" s="21"/>
      <c r="AE64" s="21"/>
      <c r="AF64" s="70"/>
      <c r="AG64" s="20"/>
      <c r="AH64" s="21"/>
      <c r="AI64" s="21"/>
      <c r="AJ64" s="22">
        <f t="shared" si="10"/>
        <v>5800</v>
      </c>
      <c r="AK64" s="29">
        <f>AJ64/[2]Popn!$F$42*1000</f>
        <v>3.5702743878980012</v>
      </c>
      <c r="AL64" s="19"/>
      <c r="AM64" s="57"/>
      <c r="AN64" s="2"/>
      <c r="AO64" s="2"/>
      <c r="AP64" s="63"/>
      <c r="AQ64" s="70"/>
      <c r="AR64" s="21">
        <f>L69*'[2]Lfill en &amp; composn'!$F$82/SUM('[2]Lfill en &amp; composn'!$F$82,'[2]Lfill en &amp; composn'!$F$84:$F$85,'[2]Lfill en &amp; composn'!$F$87:$F$88)*'[2]Lfill en &amp; composn'!$D$16</f>
        <v>29911.940226941169</v>
      </c>
      <c r="AS64" s="35">
        <f>AR64/SUM($AR$54:$AR$96)</f>
        <v>0.41046430923966454</v>
      </c>
      <c r="AT64" s="21">
        <f>AS64*'[2]Lfill en &amp; composn'!$F$63/'[2]Lfill en &amp; composn'!$B$16</f>
        <v>47614.234793814059</v>
      </c>
      <c r="AU64" s="25"/>
      <c r="AV64" s="21"/>
      <c r="AW64" s="22"/>
      <c r="AX64" s="82"/>
      <c r="AY64" s="20"/>
      <c r="AZ64" s="21"/>
      <c r="BA64" s="21"/>
      <c r="BB64" s="21"/>
      <c r="BC64" s="29"/>
      <c r="BD64" s="30"/>
      <c r="BR64" s="317"/>
      <c r="BS64" s="317"/>
      <c r="BT64" s="317"/>
      <c r="BU64" s="316" t="s">
        <v>108</v>
      </c>
      <c r="BV64" s="314"/>
      <c r="BW64" s="310" t="s">
        <v>107</v>
      </c>
      <c r="BX64" s="314"/>
      <c r="BY64" s="314"/>
      <c r="BZ64" s="314"/>
      <c r="CA64" s="314"/>
      <c r="CB64" s="653"/>
      <c r="CC64" s="317"/>
    </row>
    <row r="65" spans="1:81" ht="38.25">
      <c r="A65" s="699"/>
      <c r="B65" s="23"/>
      <c r="C65" s="17" t="s">
        <v>23</v>
      </c>
      <c r="D65" s="57"/>
      <c r="E65" s="2"/>
      <c r="F65" s="2"/>
      <c r="G65" s="63"/>
      <c r="H65" s="2"/>
      <c r="I65" s="20">
        <f>D97*[2]SA!$K$363</f>
        <v>28905.85887749906</v>
      </c>
      <c r="J65" s="21"/>
      <c r="K65" s="21"/>
      <c r="L65" s="22"/>
      <c r="M65" s="2"/>
      <c r="N65" s="20"/>
      <c r="O65" s="21"/>
      <c r="P65" s="21"/>
      <c r="Q65" s="21"/>
      <c r="R65" s="34"/>
      <c r="T65" s="57"/>
      <c r="U65" s="2"/>
      <c r="V65" s="2"/>
      <c r="W65" s="199">
        <f>[2]SA!O49</f>
        <v>220000</v>
      </c>
      <c r="X65" s="198"/>
      <c r="Y65" s="198"/>
      <c r="Z65" s="198"/>
      <c r="AA65" s="274"/>
      <c r="AB65" s="21"/>
      <c r="AC65" s="21"/>
      <c r="AD65" s="21"/>
      <c r="AE65" s="21"/>
      <c r="AF65" s="70"/>
      <c r="AG65" s="20"/>
      <c r="AH65" s="21"/>
      <c r="AI65" s="21"/>
      <c r="AJ65" s="22">
        <f t="shared" si="10"/>
        <v>220000</v>
      </c>
      <c r="AK65" s="29">
        <f>AJ65/[2]Popn!$F$42*1000</f>
        <v>135.42420092026899</v>
      </c>
      <c r="AL65" s="19"/>
      <c r="AM65" s="57"/>
      <c r="AN65" s="2"/>
      <c r="AO65" s="2"/>
      <c r="AP65" s="63"/>
      <c r="AQ65" s="68"/>
      <c r="AR65" s="21">
        <f>L69*'[2]Lfill en &amp; composn'!$F$84/SUM('[2]Lfill en &amp; composn'!$F$82,'[2]Lfill en &amp; composn'!$F$84:$F$85,'[2]Lfill en &amp; composn'!$F$87:$F$88)*'[2]Lfill en &amp; composn'!$D$18</f>
        <v>10164.576155812787</v>
      </c>
      <c r="AS65" s="35">
        <f>AR65/SUM($AR$54:$AR$96)</f>
        <v>0.13948261793970274</v>
      </c>
      <c r="AT65" s="21">
        <f>AS65*'[2]Lfill en &amp; composn'!$F$63/'[2]Lfill en &amp; composn'!$B$18</f>
        <v>12135.083314318812</v>
      </c>
      <c r="AU65" s="25"/>
      <c r="AV65" s="21"/>
      <c r="AW65" s="22"/>
      <c r="AX65" s="2"/>
      <c r="AY65" s="20"/>
      <c r="AZ65" s="21"/>
      <c r="BA65" s="21"/>
      <c r="BB65" s="21"/>
      <c r="BC65" s="29"/>
      <c r="BD65" s="36"/>
      <c r="BR65" s="317"/>
      <c r="BS65" s="317"/>
      <c r="BT65" s="317"/>
      <c r="BU65" s="317"/>
      <c r="BV65" s="318" t="s">
        <v>100</v>
      </c>
      <c r="BW65" s="311" t="s">
        <v>104</v>
      </c>
      <c r="BX65" s="318" t="s">
        <v>101</v>
      </c>
      <c r="BY65" s="319" t="s">
        <v>102</v>
      </c>
      <c r="BZ65" s="318" t="s">
        <v>103</v>
      </c>
      <c r="CA65" s="574" t="s">
        <v>192</v>
      </c>
      <c r="CB65" s="655" t="s">
        <v>258</v>
      </c>
      <c r="CC65" s="317"/>
    </row>
    <row r="66" spans="1:81">
      <c r="A66" s="699"/>
      <c r="B66" s="23"/>
      <c r="C66" s="17" t="s">
        <v>24</v>
      </c>
      <c r="D66" s="57"/>
      <c r="E66" s="2"/>
      <c r="F66" s="2"/>
      <c r="G66" s="63"/>
      <c r="H66" s="2"/>
      <c r="I66" s="20">
        <f>D97*[2]SA!$K$364</f>
        <v>9795.8856438278526</v>
      </c>
      <c r="J66" s="21"/>
      <c r="K66" s="21"/>
      <c r="L66" s="22"/>
      <c r="M66" s="2"/>
      <c r="N66" s="20"/>
      <c r="O66" s="21"/>
      <c r="P66" s="21"/>
      <c r="Q66" s="21"/>
      <c r="R66" s="34"/>
      <c r="T66" s="57"/>
      <c r="U66" s="2"/>
      <c r="V66" s="2"/>
      <c r="W66" s="199">
        <f>[2]SA!O50</f>
        <v>262000</v>
      </c>
      <c r="X66" s="198"/>
      <c r="Y66" s="198"/>
      <c r="Z66" s="198"/>
      <c r="AA66" s="274"/>
      <c r="AB66" s="21"/>
      <c r="AC66" s="21"/>
      <c r="AD66" s="21"/>
      <c r="AE66" s="21"/>
      <c r="AF66" s="70"/>
      <c r="AG66" s="20"/>
      <c r="AH66" s="21"/>
      <c r="AI66" s="21"/>
      <c r="AJ66" s="22">
        <f t="shared" si="10"/>
        <v>262000</v>
      </c>
      <c r="AK66" s="29">
        <f>AJ66/[2]Popn!$F$42*1000</f>
        <v>161.27791200504763</v>
      </c>
      <c r="AL66" s="19"/>
      <c r="AM66" s="57"/>
      <c r="AN66" s="198">
        <f>[2]SA!$M$161*[2]SA!$M$156</f>
        <v>33000</v>
      </c>
      <c r="AO66" s="2"/>
      <c r="AP66" s="63"/>
      <c r="AQ66" s="70"/>
      <c r="AR66" s="21">
        <f>L69*'[2]Lfill en &amp; composn'!$F$85/SUM('[2]Lfill en &amp; composn'!$F$82,'[2]Lfill en &amp; composn'!$F$84:$F$85,'[2]Lfill en &amp; composn'!$F$87:$F$88)*'[2]Lfill en &amp; composn'!$D$19</f>
        <v>7647.9258428565518</v>
      </c>
      <c r="AS66" s="35">
        <f>AR66/SUM($AR$54:$AR$96)</f>
        <v>0.10494807673414878</v>
      </c>
      <c r="AT66" s="21">
        <f>AS66*'[2]Lfill en &amp; composn'!$F$63/'[2]Lfill en &amp; composn'!$B$19</f>
        <v>4246.7695680470961</v>
      </c>
      <c r="AU66" s="25"/>
      <c r="AV66" s="21"/>
      <c r="AW66" s="22"/>
      <c r="AX66" s="2"/>
      <c r="AY66" s="20"/>
      <c r="AZ66" s="21">
        <f>AN66</f>
        <v>33000</v>
      </c>
      <c r="BA66" s="21"/>
      <c r="BB66" s="21"/>
      <c r="BC66" s="29"/>
      <c r="BR66" s="317"/>
      <c r="BS66" s="317"/>
      <c r="BT66" s="317"/>
      <c r="BU66" s="320" t="s">
        <v>72</v>
      </c>
      <c r="BV66" s="330">
        <f>BK151</f>
        <v>1009.3061727818958</v>
      </c>
      <c r="BW66" s="312">
        <f>AVERAGE(BV66,BX66)</f>
        <v>979.26826591604402</v>
      </c>
      <c r="BX66" s="331">
        <f>BK104</f>
        <v>949.23035905019219</v>
      </c>
      <c r="BY66" s="331">
        <f>BK57</f>
        <v>897.54962834534399</v>
      </c>
      <c r="BZ66" s="331">
        <f>BK10</f>
        <v>882.73499038925763</v>
      </c>
      <c r="CA66" s="553">
        <f>(BZ66-BV66)/BV66</f>
        <v>-0.12540414970788985</v>
      </c>
      <c r="CB66" s="594">
        <f>(BZ66/BV66)^(1/4)-1</f>
        <v>-3.2943489429348771E-2</v>
      </c>
      <c r="CC66" s="317"/>
    </row>
    <row r="67" spans="1:81">
      <c r="A67" s="699"/>
      <c r="B67" s="23"/>
      <c r="C67" s="17" t="s">
        <v>25</v>
      </c>
      <c r="D67" s="57"/>
      <c r="E67" s="2"/>
      <c r="F67" s="2"/>
      <c r="G67" s="63"/>
      <c r="H67" s="2"/>
      <c r="I67" s="20">
        <f>D97*[2]SA!$K$365</f>
        <v>21100.595445511946</v>
      </c>
      <c r="J67" s="21"/>
      <c r="K67" s="21"/>
      <c r="L67" s="22"/>
      <c r="M67" s="2"/>
      <c r="N67" s="20"/>
      <c r="O67" s="21"/>
      <c r="P67" s="21"/>
      <c r="Q67" s="21"/>
      <c r="R67" s="34"/>
      <c r="T67" s="57"/>
      <c r="U67" s="2"/>
      <c r="V67" s="2"/>
      <c r="W67" s="199">
        <f>[2]SA!U51</f>
        <v>142900</v>
      </c>
      <c r="X67" s="198"/>
      <c r="Y67" s="198"/>
      <c r="Z67" s="198"/>
      <c r="AA67" s="274"/>
      <c r="AB67" s="21"/>
      <c r="AC67" s="21"/>
      <c r="AD67" s="21"/>
      <c r="AE67" s="21"/>
      <c r="AF67" s="70"/>
      <c r="AG67" s="20"/>
      <c r="AH67" s="21"/>
      <c r="AI67" s="21"/>
      <c r="AJ67" s="22">
        <f t="shared" si="10"/>
        <v>142900</v>
      </c>
      <c r="AK67" s="29">
        <f>AJ67/[2]Popn!$F$42*1000</f>
        <v>87.964174143211082</v>
      </c>
      <c r="AL67" s="19"/>
      <c r="AM67" s="57"/>
      <c r="AN67" s="198"/>
      <c r="AO67" s="2"/>
      <c r="AP67" s="63"/>
      <c r="AQ67" s="68"/>
      <c r="AR67" s="21">
        <f>L69*'[2]Lfill en &amp; composn'!$F$93/SUM('[2]Lfill en &amp; composn'!$F$82,'[2]Lfill en &amp; composn'!$F$84:$F$85,'[2]Lfill en &amp; composn'!$F$87:$F$88)*'[2]Lfill en &amp; composn'!$D$24</f>
        <v>2458.6208842727451</v>
      </c>
      <c r="AS67" s="35">
        <f>AR67/SUM($AR$54:$AR$96)</f>
        <v>3.3738236814082626E-2</v>
      </c>
      <c r="AT67" s="21">
        <f>AS67*'[2]Lfill en &amp; composn'!$F$63/'[2]Lfill en &amp; composn'!$B$24</f>
        <v>2446.041429537946</v>
      </c>
      <c r="AU67" s="25"/>
      <c r="AV67" s="21"/>
      <c r="AW67" s="22"/>
      <c r="AX67" s="83"/>
      <c r="AY67" s="20"/>
      <c r="AZ67" s="21"/>
      <c r="BA67" s="21"/>
      <c r="BB67" s="21"/>
      <c r="BC67" s="29"/>
      <c r="BR67" s="317"/>
      <c r="BS67" s="317"/>
      <c r="BT67" s="317"/>
      <c r="BU67" s="323" t="s">
        <v>68</v>
      </c>
      <c r="BV67" s="332">
        <f>BK152</f>
        <v>2109.9630000000002</v>
      </c>
      <c r="BW67" s="313">
        <f>AVERAGE(BV67,BX67)</f>
        <v>2209.6675</v>
      </c>
      <c r="BX67" s="333">
        <f>BK105</f>
        <v>2309.3719999999998</v>
      </c>
      <c r="BY67" s="333">
        <f>BK58</f>
        <v>2340.1799999999998</v>
      </c>
      <c r="BZ67" s="333">
        <f>BK11</f>
        <v>2846.9</v>
      </c>
      <c r="CA67" s="328">
        <f t="shared" ref="CA67:CA69" si="13">(BZ67-BV67)/BV67</f>
        <v>0.34926536626471644</v>
      </c>
      <c r="CB67" s="593">
        <f t="shared" ref="CB67:CB69" si="14">(BZ67/BV67)^(1/4)-1</f>
        <v>7.7765663220736636E-2</v>
      </c>
      <c r="CC67" s="317"/>
    </row>
    <row r="68" spans="1:81">
      <c r="A68" s="699"/>
      <c r="B68" s="23"/>
      <c r="C68" s="17" t="s">
        <v>0</v>
      </c>
      <c r="D68" s="57"/>
      <c r="E68" s="2"/>
      <c r="F68" s="2"/>
      <c r="G68" s="63"/>
      <c r="H68" s="198">
        <f>[2]Biosolids!$F$195</f>
        <v>0</v>
      </c>
      <c r="I68" s="20">
        <f>D97*[2]SA!$K$366</f>
        <v>0</v>
      </c>
      <c r="J68" s="21"/>
      <c r="K68" s="21"/>
      <c r="L68" s="22"/>
      <c r="M68" s="2"/>
      <c r="N68" s="23"/>
      <c r="O68" s="19"/>
      <c r="P68" s="19"/>
      <c r="Q68" s="19"/>
      <c r="R68" s="34"/>
      <c r="T68" s="57"/>
      <c r="U68" s="2"/>
      <c r="V68" s="2"/>
      <c r="W68" s="199"/>
      <c r="X68" s="198"/>
      <c r="Y68" s="198"/>
      <c r="Z68" s="198"/>
      <c r="AA68" s="278">
        <f>[2]Biosolids!$F$194</f>
        <v>5100</v>
      </c>
      <c r="AB68" s="21"/>
      <c r="AC68" s="21"/>
      <c r="AD68" s="21"/>
      <c r="AE68" s="21"/>
      <c r="AF68" s="70"/>
      <c r="AG68" s="20"/>
      <c r="AH68" s="21"/>
      <c r="AI68" s="21"/>
      <c r="AJ68" s="22">
        <f>AA68</f>
        <v>5100</v>
      </c>
      <c r="AK68" s="29">
        <f>AJ68/[2]Popn!$F$42*1000</f>
        <v>3.1393792031516905</v>
      </c>
      <c r="AL68" s="19"/>
      <c r="AM68" s="57"/>
      <c r="AN68" s="198"/>
      <c r="AO68" s="2"/>
      <c r="AP68" s="63"/>
      <c r="AQ68" s="68"/>
      <c r="AR68" s="21">
        <f>L69*'[2]Lfill en &amp; composn'!$F$87/SUM('[2]Lfill en &amp; composn'!$F$82,'[2]Lfill en &amp; composn'!$F$84:$F$85,'[2]Lfill en &amp; composn'!$F$87:$F$88)*'[2]Lfill en &amp; composn'!$D$21</f>
        <v>101.37542708589878</v>
      </c>
      <c r="AS68" s="35">
        <f>AR68/SUM($AR$54:$AR$96)</f>
        <v>1.391116535302886E-3</v>
      </c>
      <c r="AT68" s="21">
        <f>AS68*'[2]Lfill en &amp; composn'!$F$63/'[2]Lfill en &amp; composn'!$B$21</f>
        <v>484.11236626271847</v>
      </c>
      <c r="AU68" s="25"/>
      <c r="AV68" s="21"/>
      <c r="AW68" s="22"/>
      <c r="AX68" s="2"/>
      <c r="AY68" s="23"/>
      <c r="AZ68" s="19"/>
      <c r="BA68" s="19"/>
      <c r="BB68" s="21"/>
      <c r="BC68" s="24"/>
      <c r="BR68" s="317"/>
      <c r="BS68" s="317"/>
      <c r="BT68" s="314"/>
      <c r="BU68" s="323" t="s">
        <v>69</v>
      </c>
      <c r="BV68" s="332">
        <f>BK153</f>
        <v>104.63008675437931</v>
      </c>
      <c r="BW68" s="313">
        <f>AVERAGE(BV68,BX68)</f>
        <v>121.67031093511522</v>
      </c>
      <c r="BX68" s="333">
        <f>BK106</f>
        <v>138.71053511585114</v>
      </c>
      <c r="BY68" s="333">
        <f>BK59</f>
        <v>136.39435557387827</v>
      </c>
      <c r="BZ68" s="333">
        <f>BK12</f>
        <v>136.20985179473655</v>
      </c>
      <c r="CA68" s="328">
        <f t="shared" si="13"/>
        <v>0.30182298438202787</v>
      </c>
      <c r="CB68" s="593">
        <f t="shared" si="14"/>
        <v>6.8164114998854997E-2</v>
      </c>
      <c r="CC68" s="317"/>
    </row>
    <row r="69" spans="1:81" s="106" customFormat="1" ht="25.5">
      <c r="A69" s="699"/>
      <c r="B69" s="107" t="s">
        <v>67</v>
      </c>
      <c r="C69" s="108"/>
      <c r="D69" s="109"/>
      <c r="E69" s="110"/>
      <c r="F69" s="110"/>
      <c r="G69" s="111"/>
      <c r="H69" s="110"/>
      <c r="I69" s="112">
        <f>SUM(I64:I68)</f>
        <v>216717.35323512633</v>
      </c>
      <c r="J69" s="113">
        <f>(E97-G92)*[2]SA!L$227</f>
        <v>95506.215132694662</v>
      </c>
      <c r="K69" s="113">
        <f>F97*[2]SA!M$227</f>
        <v>135179.98317127899</v>
      </c>
      <c r="L69" s="114">
        <f>SUM(I69:K69)</f>
        <v>447403.55153910001</v>
      </c>
      <c r="M69" s="110"/>
      <c r="N69" s="112">
        <f>I69-AU69</f>
        <v>184299.01890611279</v>
      </c>
      <c r="O69" s="113">
        <f>J69-AV69</f>
        <v>81219.623097255608</v>
      </c>
      <c r="P69" s="113">
        <f>K69-AW69</f>
        <v>114958.66806375096</v>
      </c>
      <c r="Q69" s="114">
        <f>SUM(N69:P69)</f>
        <v>380477.31006711937</v>
      </c>
      <c r="R69" s="115">
        <f>Q69/[2]Popn!$F$42*1000</f>
        <v>234.20834401878665</v>
      </c>
      <c r="T69" s="109"/>
      <c r="U69" s="110"/>
      <c r="V69" s="110"/>
      <c r="W69" s="203">
        <f>SUM(W64:W68)</f>
        <v>630700</v>
      </c>
      <c r="X69" s="130"/>
      <c r="Y69" s="130"/>
      <c r="Z69" s="130"/>
      <c r="AA69" s="276"/>
      <c r="AB69" s="113"/>
      <c r="AC69" s="113"/>
      <c r="AD69" s="113"/>
      <c r="AE69" s="113"/>
      <c r="AF69" s="117"/>
      <c r="AG69" s="112"/>
      <c r="AH69" s="113"/>
      <c r="AI69" s="113"/>
      <c r="AJ69" s="114">
        <f>SUM(AJ64:AJ68)</f>
        <v>635800</v>
      </c>
      <c r="AK69" s="118">
        <f>SUM(AK64:AK68)</f>
        <v>391.3759406595774</v>
      </c>
      <c r="AL69" s="119"/>
      <c r="AM69" s="109"/>
      <c r="AN69" s="130"/>
      <c r="AO69" s="110"/>
      <c r="AP69" s="111"/>
      <c r="AQ69" s="116"/>
      <c r="AR69" s="113"/>
      <c r="AS69" s="113"/>
      <c r="AT69" s="113">
        <f>SUM(AT64:AT68)</f>
        <v>66926.24147198064</v>
      </c>
      <c r="AU69" s="120">
        <f>$AT69*I69/SUM($I69:$K69)</f>
        <v>32418.334329013549</v>
      </c>
      <c r="AV69" s="113">
        <f>$AT69*J69/SUM($I69:$K69)</f>
        <v>14286.592035439058</v>
      </c>
      <c r="AW69" s="113">
        <f>$AT69*K69/SUM($I69:$K69)</f>
        <v>20221.315107528029</v>
      </c>
      <c r="AX69" s="116"/>
      <c r="AY69" s="241">
        <f>AU69</f>
        <v>32418.334329013549</v>
      </c>
      <c r="AZ69" s="242">
        <f>AV69+AZ66</f>
        <v>47286.592035439055</v>
      </c>
      <c r="BA69" s="242">
        <f>AW69</f>
        <v>20221.315107528029</v>
      </c>
      <c r="BB69" s="243">
        <f>SUM(AY69:BA69)</f>
        <v>99926.24147198064</v>
      </c>
      <c r="BC69" s="118">
        <f>BB69/[2]Popn!$F$42*1000</f>
        <v>61.511051828676472</v>
      </c>
      <c r="BD69" s="122"/>
      <c r="BG69" s="146"/>
      <c r="BH69" s="138" t="s">
        <v>72</v>
      </c>
      <c r="BI69" s="138" t="s">
        <v>68</v>
      </c>
      <c r="BJ69" s="138" t="s">
        <v>69</v>
      </c>
      <c r="BK69" s="138" t="s">
        <v>73</v>
      </c>
      <c r="BL69" s="138" t="s">
        <v>78</v>
      </c>
      <c r="BM69" s="6"/>
      <c r="BN69" s="6"/>
      <c r="BO69" s="6"/>
      <c r="BR69" s="314"/>
      <c r="BS69" s="314"/>
      <c r="BT69" s="314"/>
      <c r="BU69" s="576" t="s">
        <v>191</v>
      </c>
      <c r="BV69" s="581">
        <f>SUM(BV66:BV68)</f>
        <v>3223.8992595362752</v>
      </c>
      <c r="BW69" s="582">
        <f t="shared" ref="BW69:BZ69" si="15">SUM(BW66:BW68)</f>
        <v>3310.6060768511593</v>
      </c>
      <c r="BX69" s="583">
        <f t="shared" si="15"/>
        <v>3397.312894166043</v>
      </c>
      <c r="BY69" s="583">
        <f t="shared" si="15"/>
        <v>3374.1239839192222</v>
      </c>
      <c r="BZ69" s="583">
        <f t="shared" si="15"/>
        <v>3865.8448421839944</v>
      </c>
      <c r="CA69" s="580">
        <f t="shared" si="13"/>
        <v>0.19912085675408372</v>
      </c>
      <c r="CB69" s="652">
        <f t="shared" si="14"/>
        <v>4.6443390409901975E-2</v>
      </c>
      <c r="CC69" s="314"/>
    </row>
    <row r="70" spans="1:81">
      <c r="A70" s="699"/>
      <c r="B70" s="23" t="s">
        <v>5</v>
      </c>
      <c r="C70" s="17" t="s">
        <v>26</v>
      </c>
      <c r="D70" s="57"/>
      <c r="E70" s="2"/>
      <c r="F70" s="2"/>
      <c r="G70" s="63"/>
      <c r="H70" s="2"/>
      <c r="I70" s="20"/>
      <c r="J70" s="21"/>
      <c r="K70" s="21"/>
      <c r="L70" s="22"/>
      <c r="M70" s="2"/>
      <c r="N70" s="23"/>
      <c r="O70" s="19"/>
      <c r="P70" s="19"/>
      <c r="Q70" s="19"/>
      <c r="R70" s="33"/>
      <c r="T70" s="57"/>
      <c r="U70" s="2"/>
      <c r="V70" s="2"/>
      <c r="W70" s="199">
        <f>[2]SA!O52</f>
        <v>162000</v>
      </c>
      <c r="X70" s="198"/>
      <c r="Y70" s="198"/>
      <c r="Z70" s="198"/>
      <c r="AA70" s="274"/>
      <c r="AB70" s="21"/>
      <c r="AC70" s="21"/>
      <c r="AD70" s="21"/>
      <c r="AE70" s="21"/>
      <c r="AF70" s="70"/>
      <c r="AG70" s="20"/>
      <c r="AH70" s="21"/>
      <c r="AI70" s="21"/>
      <c r="AJ70" s="22">
        <f t="shared" si="10"/>
        <v>162000</v>
      </c>
      <c r="AK70" s="29">
        <f>AJ70/[2]Popn!$F$42*1000</f>
        <v>99.721457041288986</v>
      </c>
      <c r="AL70" s="19"/>
      <c r="AM70" s="57"/>
      <c r="AN70" s="198"/>
      <c r="AO70" s="2"/>
      <c r="AP70" s="63"/>
      <c r="AQ70" s="68"/>
      <c r="AR70" s="21"/>
      <c r="AS70" s="21"/>
      <c r="AT70" s="21"/>
      <c r="AU70" s="240"/>
      <c r="AV70" s="19"/>
      <c r="AW70" s="19"/>
      <c r="AX70" s="68"/>
      <c r="AY70" s="238"/>
      <c r="BB70" s="243"/>
      <c r="BC70" s="24"/>
      <c r="BG70" s="147" t="s">
        <v>3</v>
      </c>
      <c r="BH70" s="52">
        <f>Q59/1000</f>
        <v>138.99163104336824</v>
      </c>
      <c r="BI70" s="52">
        <f>AJ59/1000</f>
        <v>1009.9</v>
      </c>
      <c r="BJ70" s="52">
        <f>BB59/1000</f>
        <v>0</v>
      </c>
      <c r="BK70" s="137">
        <f>SUM(BI70:BJ70)/BL70</f>
        <v>0.87902111279447415</v>
      </c>
      <c r="BL70" s="52">
        <f>SUM(BH70:BJ70)</f>
        <v>1148.8916310433683</v>
      </c>
      <c r="BR70" s="317"/>
      <c r="BS70" s="317"/>
      <c r="BT70" s="317"/>
      <c r="BU70" s="314"/>
      <c r="BV70" s="314"/>
      <c r="BW70" s="314"/>
      <c r="BX70" s="314"/>
      <c r="BY70" s="314"/>
      <c r="BZ70" s="314"/>
      <c r="CA70" s="314"/>
      <c r="CB70" s="314"/>
      <c r="CC70" s="317"/>
    </row>
    <row r="71" spans="1:81">
      <c r="A71" s="699"/>
      <c r="B71" s="23"/>
      <c r="C71" s="17" t="s">
        <v>27</v>
      </c>
      <c r="D71" s="57"/>
      <c r="E71" s="2"/>
      <c r="F71" s="2"/>
      <c r="G71" s="63"/>
      <c r="H71" s="2"/>
      <c r="I71" s="20"/>
      <c r="J71" s="21"/>
      <c r="K71" s="21"/>
      <c r="L71" s="22"/>
      <c r="M71" s="2"/>
      <c r="N71" s="23"/>
      <c r="O71" s="19"/>
      <c r="P71" s="19"/>
      <c r="Q71" s="19"/>
      <c r="R71" s="33"/>
      <c r="T71" s="57"/>
      <c r="U71" s="2"/>
      <c r="V71" s="2"/>
      <c r="W71" s="199">
        <f>[2]SA!O53</f>
        <v>3900</v>
      </c>
      <c r="X71" s="198"/>
      <c r="Y71" s="198"/>
      <c r="Z71" s="198"/>
      <c r="AA71" s="274"/>
      <c r="AB71" s="21"/>
      <c r="AC71" s="21"/>
      <c r="AD71" s="21"/>
      <c r="AE71" s="21"/>
      <c r="AF71" s="70"/>
      <c r="AG71" s="20"/>
      <c r="AH71" s="21"/>
      <c r="AI71" s="21"/>
      <c r="AJ71" s="22">
        <f t="shared" si="10"/>
        <v>3900</v>
      </c>
      <c r="AK71" s="29">
        <f>AJ71/[2]Popn!$F$42*1000</f>
        <v>2.4007017435865867</v>
      </c>
      <c r="AL71" s="19"/>
      <c r="AM71" s="57"/>
      <c r="AN71" s="198"/>
      <c r="AO71" s="2"/>
      <c r="AP71" s="63"/>
      <c r="AQ71" s="68"/>
      <c r="AR71" s="21"/>
      <c r="AS71" s="21"/>
      <c r="AT71" s="21"/>
      <c r="AU71" s="240"/>
      <c r="AV71" s="19"/>
      <c r="AW71" s="19"/>
      <c r="AX71" s="68"/>
      <c r="AY71" s="238"/>
      <c r="BB71" s="243"/>
      <c r="BC71" s="24"/>
      <c r="BG71" s="147" t="s">
        <v>4</v>
      </c>
      <c r="BH71" s="52">
        <f>Q63/1000</f>
        <v>28.703767420149092</v>
      </c>
      <c r="BI71" s="52">
        <f>AJ63/1000</f>
        <v>375.8</v>
      </c>
      <c r="BJ71" s="52">
        <f>BB63/1000</f>
        <v>0</v>
      </c>
      <c r="BK71" s="137">
        <f t="shared" ref="BK71:BK78" si="16">SUM(BI71:BJ71)/BL71</f>
        <v>0.92903955480262534</v>
      </c>
      <c r="BL71" s="52">
        <f t="shared" ref="BL71:BL78" si="17">SUM(BH71:BJ71)</f>
        <v>404.50376742014907</v>
      </c>
      <c r="BR71" s="317"/>
      <c r="BS71" s="317"/>
      <c r="BT71" s="317"/>
      <c r="BU71" s="317"/>
      <c r="BV71" s="317"/>
      <c r="BW71" s="317"/>
      <c r="BX71" s="317"/>
      <c r="BY71" s="317"/>
      <c r="BZ71" s="317"/>
      <c r="CA71" s="317"/>
      <c r="CB71" s="317"/>
      <c r="CC71" s="317"/>
    </row>
    <row r="72" spans="1:81">
      <c r="A72" s="699"/>
      <c r="B72" s="23"/>
      <c r="C72" s="17" t="s">
        <v>28</v>
      </c>
      <c r="D72" s="57"/>
      <c r="E72" s="2"/>
      <c r="F72" s="2"/>
      <c r="G72" s="63"/>
      <c r="H72" s="2"/>
      <c r="I72" s="20"/>
      <c r="J72" s="21"/>
      <c r="K72" s="21"/>
      <c r="L72" s="22"/>
      <c r="M72" s="2"/>
      <c r="N72" s="23"/>
      <c r="O72" s="19"/>
      <c r="P72" s="19"/>
      <c r="Q72" s="19"/>
      <c r="R72" s="33"/>
      <c r="T72" s="57"/>
      <c r="U72" s="2"/>
      <c r="V72" s="2"/>
      <c r="W72" s="199">
        <f>[2]SA!O54</f>
        <v>40000</v>
      </c>
      <c r="X72" s="198"/>
      <c r="Y72" s="198"/>
      <c r="Z72" s="198"/>
      <c r="AA72" s="274"/>
      <c r="AB72" s="21"/>
      <c r="AC72" s="21"/>
      <c r="AD72" s="21"/>
      <c r="AE72" s="21"/>
      <c r="AF72" s="70"/>
      <c r="AG72" s="20"/>
      <c r="AH72" s="21"/>
      <c r="AI72" s="21"/>
      <c r="AJ72" s="22">
        <f t="shared" si="10"/>
        <v>40000</v>
      </c>
      <c r="AK72" s="29">
        <f>AJ72/[2]Popn!$F$42*1000</f>
        <v>24.622581985503455</v>
      </c>
      <c r="AL72" s="19"/>
      <c r="AM72" s="57"/>
      <c r="AN72" s="198"/>
      <c r="AO72" s="2"/>
      <c r="AP72" s="63"/>
      <c r="AQ72" s="68"/>
      <c r="AR72" s="21"/>
      <c r="AS72" s="21"/>
      <c r="AT72" s="21"/>
      <c r="AU72" s="240"/>
      <c r="AV72" s="19"/>
      <c r="AW72" s="19"/>
      <c r="AX72" s="68"/>
      <c r="AY72" s="238"/>
      <c r="BB72" s="243"/>
      <c r="BC72" s="24"/>
      <c r="BG72" s="147" t="s">
        <v>2</v>
      </c>
      <c r="BH72" s="52">
        <f>Q69/1000</f>
        <v>380.47731006711939</v>
      </c>
      <c r="BI72" s="52">
        <f>AJ69/1000</f>
        <v>635.79999999999995</v>
      </c>
      <c r="BJ72" s="52">
        <f>BB69/1000</f>
        <v>99.926241471980646</v>
      </c>
      <c r="BK72" s="137">
        <f t="shared" si="16"/>
        <v>0.65913268279563308</v>
      </c>
      <c r="BL72" s="52">
        <f t="shared" si="17"/>
        <v>1116.2035515390999</v>
      </c>
      <c r="BR72" s="317"/>
      <c r="BS72" s="317"/>
      <c r="BT72" s="317"/>
      <c r="BU72" s="317"/>
      <c r="BV72" s="317"/>
      <c r="BW72" s="317"/>
      <c r="BX72" s="317"/>
      <c r="BY72" s="317"/>
      <c r="BZ72" s="317"/>
      <c r="CA72" s="317"/>
      <c r="CB72" s="317"/>
      <c r="CC72" s="317"/>
    </row>
    <row r="73" spans="1:81">
      <c r="A73" s="699"/>
      <c r="B73" s="23"/>
      <c r="C73" s="17" t="s">
        <v>29</v>
      </c>
      <c r="D73" s="57"/>
      <c r="E73" s="2"/>
      <c r="F73" s="2"/>
      <c r="G73" s="63"/>
      <c r="H73" s="2"/>
      <c r="I73" s="20"/>
      <c r="J73" s="21"/>
      <c r="K73" s="21"/>
      <c r="L73" s="22"/>
      <c r="M73" s="2"/>
      <c r="N73" s="23"/>
      <c r="O73" s="19"/>
      <c r="P73" s="19"/>
      <c r="Q73" s="19"/>
      <c r="R73" s="33"/>
      <c r="T73" s="57"/>
      <c r="U73" s="2"/>
      <c r="V73" s="2"/>
      <c r="W73" s="199">
        <f>[2]SA!O55</f>
        <v>16400</v>
      </c>
      <c r="X73" s="198"/>
      <c r="Y73" s="198"/>
      <c r="Z73" s="198"/>
      <c r="AA73" s="274"/>
      <c r="AB73" s="21"/>
      <c r="AC73" s="21"/>
      <c r="AD73" s="21"/>
      <c r="AE73" s="21"/>
      <c r="AF73" s="70"/>
      <c r="AG73" s="20"/>
      <c r="AH73" s="21"/>
      <c r="AI73" s="21"/>
      <c r="AJ73" s="22">
        <f t="shared" si="10"/>
        <v>16400</v>
      </c>
      <c r="AK73" s="29">
        <f>AJ73/[2]Popn!$F$42*1000</f>
        <v>10.095258614056416</v>
      </c>
      <c r="AL73" s="19"/>
      <c r="AM73" s="57"/>
      <c r="AN73" s="198"/>
      <c r="AO73" s="2"/>
      <c r="AP73" s="63"/>
      <c r="AQ73" s="68"/>
      <c r="AR73" s="21"/>
      <c r="AS73" s="21"/>
      <c r="AT73" s="21"/>
      <c r="AU73" s="240"/>
      <c r="AV73" s="19"/>
      <c r="AW73" s="19"/>
      <c r="AX73" s="68"/>
      <c r="AY73" s="238"/>
      <c r="BB73" s="243"/>
      <c r="BC73" s="24"/>
      <c r="BG73" s="147" t="s">
        <v>5</v>
      </c>
      <c r="BH73" s="52">
        <f>Q74/1000</f>
        <v>77.074090470841668</v>
      </c>
      <c r="BI73" s="52">
        <f>AJ74/1000</f>
        <v>222.3</v>
      </c>
      <c r="BJ73" s="52">
        <f>BB74/1000</f>
        <v>10.212367489362157</v>
      </c>
      <c r="BK73" s="137">
        <f t="shared" si="16"/>
        <v>0.75104178981643543</v>
      </c>
      <c r="BL73" s="52">
        <f t="shared" si="17"/>
        <v>309.58645796020386</v>
      </c>
      <c r="BR73" s="317"/>
      <c r="BS73" s="317"/>
      <c r="BT73" s="317"/>
      <c r="BU73" s="317"/>
      <c r="BV73" s="317"/>
      <c r="BW73" s="317"/>
      <c r="BX73" s="317"/>
      <c r="BY73" s="317"/>
      <c r="BZ73" s="317"/>
      <c r="CA73" s="317"/>
      <c r="CB73" s="317"/>
      <c r="CC73" s="317"/>
    </row>
    <row r="74" spans="1:81" s="106" customFormat="1">
      <c r="A74" s="699"/>
      <c r="B74" s="107" t="s">
        <v>67</v>
      </c>
      <c r="C74" s="108"/>
      <c r="D74" s="109"/>
      <c r="E74" s="110"/>
      <c r="F74" s="110"/>
      <c r="G74" s="111"/>
      <c r="H74" s="110"/>
      <c r="I74" s="112">
        <f>D97*[2]SA!$K$367</f>
        <v>49779.051039827842</v>
      </c>
      <c r="J74" s="113">
        <f>(E97-G92)*[2]SA!L$228</f>
        <v>33223.824272657206</v>
      </c>
      <c r="K74" s="113">
        <f>F97*[2]SA!M$228</f>
        <v>4283.5826477187738</v>
      </c>
      <c r="L74" s="114">
        <f>SUM(I74:K74)</f>
        <v>87286.457960203828</v>
      </c>
      <c r="M74" s="110"/>
      <c r="N74" s="112">
        <f>I74-AU74</f>
        <v>43954.986524319458</v>
      </c>
      <c r="O74" s="113">
        <f>J74-AV74</f>
        <v>29336.693200972997</v>
      </c>
      <c r="P74" s="113">
        <f>K74-AW74</f>
        <v>3782.4107455492094</v>
      </c>
      <c r="Q74" s="114">
        <f>SUM(N74:P74)</f>
        <v>77074.090470841664</v>
      </c>
      <c r="R74" s="115">
        <f>Q74/[2]Popn!$F$42*1000</f>
        <v>47.44407778941023</v>
      </c>
      <c r="T74" s="109"/>
      <c r="U74" s="110"/>
      <c r="V74" s="110"/>
      <c r="W74" s="203">
        <f>SUM(W70:W73)</f>
        <v>222300</v>
      </c>
      <c r="X74" s="130"/>
      <c r="Y74" s="130"/>
      <c r="Z74" s="130"/>
      <c r="AA74" s="276"/>
      <c r="AB74" s="113"/>
      <c r="AC74" s="113"/>
      <c r="AD74" s="113"/>
      <c r="AE74" s="113"/>
      <c r="AF74" s="117"/>
      <c r="AG74" s="112"/>
      <c r="AH74" s="113"/>
      <c r="AI74" s="113"/>
      <c r="AJ74" s="114">
        <f t="shared" si="10"/>
        <v>222300</v>
      </c>
      <c r="AK74" s="118">
        <f>SUM(AK70:AK73)</f>
        <v>136.83999938443543</v>
      </c>
      <c r="AL74" s="119"/>
      <c r="AM74" s="109"/>
      <c r="AN74" s="130"/>
      <c r="AO74" s="110"/>
      <c r="AP74" s="111"/>
      <c r="AQ74" s="117"/>
      <c r="AR74" s="113">
        <f>L74*'[2]Lfill en &amp; composn'!$D$17</f>
        <v>17108.14576019995</v>
      </c>
      <c r="AS74" s="123">
        <f>AR74/SUM($AR$54:$AR$96)</f>
        <v>0.2347652201279514</v>
      </c>
      <c r="AT74" s="113">
        <f>AS74*'[2]Lfill en &amp; composn'!$F$63/'[2]Lfill en &amp; composn'!$B$17</f>
        <v>10212.367489362157</v>
      </c>
      <c r="AU74" s="120">
        <f>$AT74*I74/SUM($I74:$K74)</f>
        <v>5824.064515508383</v>
      </c>
      <c r="AV74" s="113">
        <f>$AT74*J74/SUM($I74:$K74)</f>
        <v>3887.131071684209</v>
      </c>
      <c r="AW74" s="113">
        <f>$AT74*K74/SUM($I74:$K74)</f>
        <v>501.17190216956448</v>
      </c>
      <c r="AX74" s="116"/>
      <c r="AY74" s="241">
        <f>AU74</f>
        <v>5824.064515508383</v>
      </c>
      <c r="AZ74" s="242">
        <f>AV74</f>
        <v>3887.131071684209</v>
      </c>
      <c r="BA74" s="242">
        <f>AW74</f>
        <v>501.17190216956448</v>
      </c>
      <c r="BB74" s="243">
        <f t="shared" ref="BB74:BB88" si="18">SUM(AY74:BA74)</f>
        <v>10212.367489362157</v>
      </c>
      <c r="BC74" s="118">
        <f>BB74/[2]Popn!$F$42*1000</f>
        <v>6.2863713943227451</v>
      </c>
      <c r="BD74" s="122"/>
      <c r="BG74" s="147" t="s">
        <v>6</v>
      </c>
      <c r="BH74" s="52">
        <f>Q84/1000</f>
        <v>58.718406098944087</v>
      </c>
      <c r="BI74" s="52">
        <f>AJ84/1000</f>
        <v>20.48</v>
      </c>
      <c r="BJ74" s="52">
        <f>BB84/1000</f>
        <v>16.5</v>
      </c>
      <c r="BK74" s="137">
        <f t="shared" si="16"/>
        <v>0.38642231890221662</v>
      </c>
      <c r="BL74" s="52">
        <f t="shared" si="17"/>
        <v>95.698406098944091</v>
      </c>
      <c r="BM74" s="6"/>
      <c r="BN74" s="6"/>
      <c r="BO74" s="6"/>
      <c r="BR74" s="314"/>
      <c r="BS74" s="314"/>
      <c r="BT74" s="317"/>
      <c r="BU74" s="317"/>
      <c r="BV74" s="317"/>
      <c r="BW74" s="317"/>
      <c r="BX74" s="317"/>
      <c r="BY74" s="317"/>
      <c r="BZ74" s="317"/>
      <c r="CA74" s="317"/>
      <c r="CB74" s="317"/>
      <c r="CC74" s="314"/>
    </row>
    <row r="75" spans="1:81">
      <c r="A75" s="699"/>
      <c r="B75" s="23" t="s">
        <v>6</v>
      </c>
      <c r="C75" s="17" t="s">
        <v>30</v>
      </c>
      <c r="D75" s="57"/>
      <c r="E75" s="2"/>
      <c r="F75" s="2"/>
      <c r="G75" s="63"/>
      <c r="H75" s="2"/>
      <c r="I75" s="20"/>
      <c r="J75" s="21"/>
      <c r="K75" s="21"/>
      <c r="L75" s="22"/>
      <c r="M75" s="2"/>
      <c r="N75" s="23"/>
      <c r="O75" s="19"/>
      <c r="P75" s="19"/>
      <c r="Q75" s="19"/>
      <c r="R75" s="33"/>
      <c r="T75" s="57"/>
      <c r="U75" s="2"/>
      <c r="V75" s="2"/>
      <c r="W75" s="199">
        <f>[2]SA!O56</f>
        <v>5500</v>
      </c>
      <c r="X75" s="198"/>
      <c r="Y75" s="198"/>
      <c r="Z75" s="198"/>
      <c r="AA75" s="274"/>
      <c r="AB75" s="21"/>
      <c r="AC75" s="21"/>
      <c r="AD75" s="21"/>
      <c r="AE75" s="21"/>
      <c r="AF75" s="70"/>
      <c r="AG75" s="20"/>
      <c r="AH75" s="21"/>
      <c r="AI75" s="21"/>
      <c r="AJ75" s="22">
        <f t="shared" si="10"/>
        <v>5500</v>
      </c>
      <c r="AK75" s="29"/>
      <c r="AL75" s="19"/>
      <c r="AM75" s="57"/>
      <c r="AN75" s="198"/>
      <c r="AO75" s="2"/>
      <c r="AP75" s="63"/>
      <c r="AQ75" s="68"/>
      <c r="AR75" s="21"/>
      <c r="AS75" s="21"/>
      <c r="AT75" s="21"/>
      <c r="AU75" s="240"/>
      <c r="AV75" s="19"/>
      <c r="AW75" s="19"/>
      <c r="AX75" s="68"/>
      <c r="AY75" s="238"/>
      <c r="BB75" s="243"/>
      <c r="BC75" s="24"/>
      <c r="BG75" s="147" t="s">
        <v>8</v>
      </c>
      <c r="BH75" s="52">
        <f>Q85/1000</f>
        <v>16.106194931565856</v>
      </c>
      <c r="BI75" s="52">
        <f>AJ85/1000</f>
        <v>57</v>
      </c>
      <c r="BJ75" s="52">
        <f>BB85/1000</f>
        <v>0</v>
      </c>
      <c r="BK75" s="137">
        <f t="shared" si="16"/>
        <v>0.77968768656824861</v>
      </c>
      <c r="BL75" s="52">
        <f t="shared" si="17"/>
        <v>73.106194931565852</v>
      </c>
      <c r="BR75" s="317"/>
      <c r="BS75" s="317"/>
      <c r="BT75" s="317"/>
      <c r="BU75" s="317"/>
      <c r="BV75" s="317"/>
      <c r="BW75" s="317"/>
      <c r="BX75" s="317"/>
      <c r="BY75" s="317"/>
      <c r="BZ75" s="317"/>
      <c r="CA75" s="317"/>
      <c r="CB75" s="317"/>
      <c r="CC75" s="317"/>
    </row>
    <row r="76" spans="1:81">
      <c r="A76" s="699"/>
      <c r="B76" s="23"/>
      <c r="C76" s="17" t="s">
        <v>31</v>
      </c>
      <c r="D76" s="57"/>
      <c r="E76" s="2"/>
      <c r="F76" s="2"/>
      <c r="G76" s="63"/>
      <c r="H76" s="2"/>
      <c r="I76" s="20"/>
      <c r="J76" s="21"/>
      <c r="K76" s="21"/>
      <c r="L76" s="22"/>
      <c r="M76" s="2"/>
      <c r="N76" s="23"/>
      <c r="O76" s="19"/>
      <c r="P76" s="19"/>
      <c r="Q76" s="19"/>
      <c r="R76" s="33"/>
      <c r="T76" s="57"/>
      <c r="U76" s="2"/>
      <c r="V76" s="2"/>
      <c r="W76" s="199">
        <f>[2]SA!O57</f>
        <v>4900</v>
      </c>
      <c r="X76" s="198"/>
      <c r="Y76" s="198"/>
      <c r="Z76" s="198"/>
      <c r="AA76" s="274"/>
      <c r="AB76" s="21"/>
      <c r="AC76" s="21"/>
      <c r="AD76" s="21"/>
      <c r="AE76" s="21"/>
      <c r="AF76" s="70"/>
      <c r="AG76" s="20"/>
      <c r="AH76" s="21"/>
      <c r="AI76" s="21"/>
      <c r="AJ76" s="22">
        <f t="shared" si="10"/>
        <v>4900</v>
      </c>
      <c r="AK76" s="29"/>
      <c r="AL76" s="19"/>
      <c r="AM76" s="57"/>
      <c r="AN76" s="198"/>
      <c r="AO76" s="2"/>
      <c r="AP76" s="63"/>
      <c r="AQ76" s="68"/>
      <c r="AR76" s="21"/>
      <c r="AS76" s="21"/>
      <c r="AT76" s="21"/>
      <c r="AU76" s="240"/>
      <c r="AV76" s="19"/>
      <c r="AW76" s="19"/>
      <c r="AX76" s="68"/>
      <c r="AY76" s="238"/>
      <c r="BB76" s="243"/>
      <c r="BC76" s="24"/>
      <c r="BG76" s="147" t="s">
        <v>7</v>
      </c>
      <c r="BH76" s="52">
        <f>Q88/1000</f>
        <v>30.543244643420117</v>
      </c>
      <c r="BI76" s="52">
        <f>AJ88/1000</f>
        <v>18.899999999999999</v>
      </c>
      <c r="BJ76" s="52">
        <f>BB88/1000</f>
        <v>9.7557466125354821</v>
      </c>
      <c r="BK76" s="137">
        <f t="shared" si="16"/>
        <v>0.48405802201321507</v>
      </c>
      <c r="BL76" s="52">
        <f t="shared" si="17"/>
        <v>59.198991255955598</v>
      </c>
      <c r="BR76" s="317"/>
      <c r="BS76" s="317"/>
      <c r="BT76" s="325"/>
      <c r="BU76" s="317"/>
      <c r="BV76" s="317"/>
      <c r="BW76" s="317"/>
      <c r="BX76" s="317"/>
      <c r="BY76" s="317"/>
      <c r="BZ76" s="317"/>
      <c r="CA76" s="317"/>
      <c r="CB76" s="317"/>
      <c r="CC76" s="317"/>
    </row>
    <row r="77" spans="1:81">
      <c r="A77" s="699"/>
      <c r="B77" s="23"/>
      <c r="C77" s="17" t="s">
        <v>32</v>
      </c>
      <c r="D77" s="57"/>
      <c r="E77" s="2"/>
      <c r="F77" s="2"/>
      <c r="G77" s="63"/>
      <c r="H77" s="2"/>
      <c r="I77" s="20"/>
      <c r="J77" s="21"/>
      <c r="K77" s="21"/>
      <c r="L77" s="22"/>
      <c r="M77" s="2"/>
      <c r="N77" s="23"/>
      <c r="O77" s="19"/>
      <c r="P77" s="19"/>
      <c r="Q77" s="19"/>
      <c r="R77" s="33"/>
      <c r="T77" s="57"/>
      <c r="U77" s="2"/>
      <c r="V77" s="2"/>
      <c r="W77" s="199">
        <f>[2]SA!O58</f>
        <v>80</v>
      </c>
      <c r="X77" s="198"/>
      <c r="Y77" s="198"/>
      <c r="Z77" s="198"/>
      <c r="AA77" s="274"/>
      <c r="AB77" s="21"/>
      <c r="AC77" s="21"/>
      <c r="AD77" s="21"/>
      <c r="AE77" s="21"/>
      <c r="AF77" s="70"/>
      <c r="AG77" s="20"/>
      <c r="AH77" s="21"/>
      <c r="AI77" s="21"/>
      <c r="AJ77" s="22">
        <f t="shared" si="10"/>
        <v>80</v>
      </c>
      <c r="AK77" s="29"/>
      <c r="AL77" s="19"/>
      <c r="AM77" s="57"/>
      <c r="AN77" s="198"/>
      <c r="AO77" s="2"/>
      <c r="AP77" s="63"/>
      <c r="AQ77" s="68"/>
      <c r="AR77" s="21"/>
      <c r="AS77" s="21"/>
      <c r="AT77" s="21"/>
      <c r="AU77" s="240"/>
      <c r="AV77" s="19"/>
      <c r="AW77" s="19"/>
      <c r="AX77" s="68"/>
      <c r="AY77" s="238"/>
      <c r="BB77" s="243"/>
      <c r="BC77" s="24"/>
      <c r="BG77" s="147" t="s">
        <v>11</v>
      </c>
      <c r="BH77" s="52">
        <f>Q93/1000</f>
        <v>166.93498366993558</v>
      </c>
      <c r="BI77" s="52">
        <f>AJ93/1000</f>
        <v>0</v>
      </c>
      <c r="BJ77" s="52">
        <f>BB93/1000</f>
        <v>0</v>
      </c>
      <c r="BK77" s="137">
        <f t="shared" si="16"/>
        <v>0</v>
      </c>
      <c r="BL77" s="52">
        <f t="shared" si="17"/>
        <v>166.93498366993558</v>
      </c>
      <c r="BR77" s="317"/>
      <c r="BS77" s="317"/>
      <c r="BT77" s="326"/>
      <c r="BU77" s="325"/>
      <c r="BV77" s="317"/>
      <c r="BW77" s="317"/>
      <c r="BX77" s="317"/>
      <c r="BY77" s="317"/>
      <c r="BZ77" s="317"/>
      <c r="CA77" s="317"/>
      <c r="CB77" s="317"/>
      <c r="CC77" s="317"/>
    </row>
    <row r="78" spans="1:81" s="90" customFormat="1">
      <c r="A78" s="699"/>
      <c r="B78" s="91" t="s">
        <v>42</v>
      </c>
      <c r="C78" s="92"/>
      <c r="D78" s="93"/>
      <c r="E78" s="94"/>
      <c r="F78" s="94"/>
      <c r="G78" s="95"/>
      <c r="H78" s="94"/>
      <c r="I78" s="96"/>
      <c r="J78" s="97"/>
      <c r="K78" s="97"/>
      <c r="L78" s="98"/>
      <c r="M78" s="94"/>
      <c r="N78" s="96"/>
      <c r="O78" s="97"/>
      <c r="P78" s="97"/>
      <c r="Q78" s="97"/>
      <c r="R78" s="99"/>
      <c r="T78" s="93"/>
      <c r="U78" s="94"/>
      <c r="V78" s="94"/>
      <c r="W78" s="211">
        <f>SUM(W75:W77)</f>
        <v>10480</v>
      </c>
      <c r="X78" s="289"/>
      <c r="Y78" s="289"/>
      <c r="Z78" s="289"/>
      <c r="AA78" s="280"/>
      <c r="AB78" s="97"/>
      <c r="AC78" s="97"/>
      <c r="AD78" s="97"/>
      <c r="AE78" s="97"/>
      <c r="AF78" s="101"/>
      <c r="AG78" s="96"/>
      <c r="AH78" s="97"/>
      <c r="AI78" s="97"/>
      <c r="AJ78" s="98">
        <f t="shared" si="10"/>
        <v>10480</v>
      </c>
      <c r="AK78" s="102">
        <f>SUM(AK75:AK77)</f>
        <v>0</v>
      </c>
      <c r="AL78" s="103"/>
      <c r="AM78" s="93"/>
      <c r="AN78" s="204"/>
      <c r="AO78" s="94"/>
      <c r="AP78" s="95"/>
      <c r="AQ78" s="100"/>
      <c r="AR78" s="97"/>
      <c r="AS78" s="128"/>
      <c r="AT78" s="128"/>
      <c r="AU78" s="104"/>
      <c r="AV78" s="97"/>
      <c r="AW78" s="97"/>
      <c r="AX78" s="100"/>
      <c r="AY78" s="239"/>
      <c r="BB78" s="243"/>
      <c r="BC78" s="105"/>
      <c r="BG78" s="147" t="s">
        <v>1</v>
      </c>
      <c r="BH78" s="52">
        <f>Q94/1000</f>
        <v>0</v>
      </c>
      <c r="BI78" s="52">
        <f>AJ94/1000</f>
        <v>170</v>
      </c>
      <c r="BJ78" s="52">
        <f>BB94/1000</f>
        <v>0</v>
      </c>
      <c r="BK78" s="137">
        <f t="shared" si="16"/>
        <v>1</v>
      </c>
      <c r="BL78" s="52">
        <f t="shared" si="17"/>
        <v>170</v>
      </c>
      <c r="BM78" s="6"/>
      <c r="BN78" s="6"/>
      <c r="BO78" s="6"/>
      <c r="BR78" s="334"/>
      <c r="BS78" s="334"/>
      <c r="BT78" s="328"/>
      <c r="BU78" s="326"/>
      <c r="BV78" s="317"/>
      <c r="BW78" s="317"/>
      <c r="BX78" s="317"/>
      <c r="BY78" s="317"/>
      <c r="BZ78" s="317"/>
      <c r="CA78" s="317"/>
      <c r="CB78" s="317"/>
      <c r="CC78" s="334"/>
    </row>
    <row r="79" spans="1:81">
      <c r="A79" s="699"/>
      <c r="B79" s="23"/>
      <c r="C79" s="17" t="s">
        <v>33</v>
      </c>
      <c r="D79" s="57"/>
      <c r="E79" s="2"/>
      <c r="F79" s="2"/>
      <c r="G79" s="63"/>
      <c r="H79" s="2"/>
      <c r="I79" s="20"/>
      <c r="J79" s="21"/>
      <c r="K79" s="21"/>
      <c r="L79" s="22"/>
      <c r="M79" s="2"/>
      <c r="N79" s="23"/>
      <c r="O79" s="19"/>
      <c r="P79" s="19"/>
      <c r="Q79" s="19"/>
      <c r="R79" s="33"/>
      <c r="T79" s="57"/>
      <c r="U79" s="2"/>
      <c r="V79" s="2"/>
      <c r="W79" s="199">
        <f>[2]SA!O59</f>
        <v>4200</v>
      </c>
      <c r="X79" s="198"/>
      <c r="Y79" s="198"/>
      <c r="Z79" s="198"/>
      <c r="AA79" s="274"/>
      <c r="AB79" s="21"/>
      <c r="AC79" s="21"/>
      <c r="AD79" s="21"/>
      <c r="AE79" s="21"/>
      <c r="AF79" s="70"/>
      <c r="AG79" s="20"/>
      <c r="AH79" s="21"/>
      <c r="AI79" s="21"/>
      <c r="AJ79" s="22">
        <f t="shared" si="10"/>
        <v>4200</v>
      </c>
      <c r="AK79" s="29"/>
      <c r="AL79" s="19"/>
      <c r="AM79" s="57"/>
      <c r="AN79" s="198"/>
      <c r="AO79" s="2"/>
      <c r="AP79" s="63"/>
      <c r="AQ79" s="68"/>
      <c r="AR79" s="21"/>
      <c r="AS79" s="21"/>
      <c r="AT79" s="21"/>
      <c r="AU79" s="240"/>
      <c r="AV79" s="19"/>
      <c r="AW79" s="19"/>
      <c r="AX79" s="68"/>
      <c r="AY79" s="238"/>
      <c r="BB79" s="243"/>
      <c r="BC79" s="24"/>
      <c r="BG79" s="142"/>
      <c r="BR79" s="317"/>
      <c r="BS79" s="317"/>
      <c r="BT79" s="328"/>
      <c r="BU79" s="329"/>
      <c r="BV79" s="317"/>
      <c r="BW79" s="317"/>
      <c r="BX79" s="317"/>
      <c r="BY79" s="317"/>
      <c r="BZ79" s="317"/>
      <c r="CA79" s="317"/>
      <c r="CB79" s="317"/>
      <c r="CC79" s="317"/>
    </row>
    <row r="80" spans="1:81">
      <c r="A80" s="699"/>
      <c r="B80" s="23"/>
      <c r="C80" s="17" t="s">
        <v>34</v>
      </c>
      <c r="D80" s="57"/>
      <c r="E80" s="2"/>
      <c r="F80" s="2"/>
      <c r="G80" s="63"/>
      <c r="H80" s="2"/>
      <c r="I80" s="20"/>
      <c r="J80" s="21"/>
      <c r="K80" s="21"/>
      <c r="L80" s="22"/>
      <c r="M80" s="2"/>
      <c r="N80" s="23"/>
      <c r="O80" s="19"/>
      <c r="P80" s="19"/>
      <c r="Q80" s="19"/>
      <c r="R80" s="33"/>
      <c r="T80" s="57"/>
      <c r="U80" s="2"/>
      <c r="V80" s="2"/>
      <c r="W80" s="199">
        <f>[2]SA!O60</f>
        <v>4000</v>
      </c>
      <c r="X80" s="198"/>
      <c r="Y80" s="198"/>
      <c r="Z80" s="198"/>
      <c r="AA80" s="274"/>
      <c r="AB80" s="21"/>
      <c r="AC80" s="21"/>
      <c r="AD80" s="21"/>
      <c r="AE80" s="21"/>
      <c r="AF80" s="70"/>
      <c r="AG80" s="20"/>
      <c r="AH80" s="21"/>
      <c r="AI80" s="21"/>
      <c r="AJ80" s="22">
        <f t="shared" si="10"/>
        <v>4000</v>
      </c>
      <c r="AK80" s="29"/>
      <c r="AL80" s="19"/>
      <c r="AM80" s="57"/>
      <c r="AN80" s="198"/>
      <c r="AO80" s="2"/>
      <c r="AP80" s="63"/>
      <c r="AQ80" s="68"/>
      <c r="AR80" s="21"/>
      <c r="AS80" s="21"/>
      <c r="AT80" s="21"/>
      <c r="AU80" s="240"/>
      <c r="AV80" s="19"/>
      <c r="AW80" s="19"/>
      <c r="AX80" s="68"/>
      <c r="AY80" s="238"/>
      <c r="BB80" s="243"/>
      <c r="BC80" s="24"/>
      <c r="BR80" s="317"/>
      <c r="BS80" s="317"/>
      <c r="BT80" s="317"/>
      <c r="BU80" s="329"/>
      <c r="BV80" s="317"/>
      <c r="BW80" s="317"/>
      <c r="BX80" s="317"/>
      <c r="BY80" s="317"/>
      <c r="BZ80" s="317"/>
      <c r="CA80" s="317"/>
      <c r="CB80" s="317"/>
      <c r="CC80" s="317"/>
    </row>
    <row r="81" spans="1:81">
      <c r="A81" s="699"/>
      <c r="B81" s="23"/>
      <c r="C81" s="17" t="s">
        <v>35</v>
      </c>
      <c r="D81" s="57"/>
      <c r="E81" s="2"/>
      <c r="F81" s="2"/>
      <c r="G81" s="63"/>
      <c r="H81" s="2"/>
      <c r="I81" s="20"/>
      <c r="J81" s="21"/>
      <c r="K81" s="21"/>
      <c r="L81" s="22"/>
      <c r="M81" s="2"/>
      <c r="N81" s="23"/>
      <c r="O81" s="19"/>
      <c r="P81" s="19"/>
      <c r="Q81" s="19"/>
      <c r="R81" s="33"/>
      <c r="T81" s="57"/>
      <c r="U81" s="2"/>
      <c r="V81" s="2"/>
      <c r="W81" s="199">
        <f>[2]SA!O61</f>
        <v>200</v>
      </c>
      <c r="X81" s="198"/>
      <c r="Y81" s="198"/>
      <c r="Z81" s="198"/>
      <c r="AA81" s="274"/>
      <c r="AB81" s="21"/>
      <c r="AC81" s="21"/>
      <c r="AD81" s="21"/>
      <c r="AE81" s="21"/>
      <c r="AF81" s="70"/>
      <c r="AG81" s="20"/>
      <c r="AH81" s="21"/>
      <c r="AI81" s="21"/>
      <c r="AJ81" s="22">
        <f t="shared" si="10"/>
        <v>200</v>
      </c>
      <c r="AK81" s="29"/>
      <c r="AL81" s="19"/>
      <c r="AM81" s="57"/>
      <c r="AN81" s="198"/>
      <c r="AO81" s="2"/>
      <c r="AP81" s="63"/>
      <c r="AQ81" s="68"/>
      <c r="AR81" s="21"/>
      <c r="AS81" s="21"/>
      <c r="AT81" s="21"/>
      <c r="AU81" s="240"/>
      <c r="AV81" s="19"/>
      <c r="AW81" s="19"/>
      <c r="AX81" s="68"/>
      <c r="AY81" s="238"/>
      <c r="BB81" s="243"/>
      <c r="BC81" s="24"/>
      <c r="BR81" s="317"/>
      <c r="BS81" s="317"/>
      <c r="BT81" s="314"/>
      <c r="BU81" s="317"/>
      <c r="BV81" s="317"/>
      <c r="BW81" s="317"/>
      <c r="BX81" s="317"/>
      <c r="BY81" s="317"/>
      <c r="BZ81" s="317"/>
      <c r="CA81" s="317"/>
      <c r="CB81" s="317"/>
      <c r="CC81" s="317"/>
    </row>
    <row r="82" spans="1:81">
      <c r="A82" s="699"/>
      <c r="B82" s="23"/>
      <c r="C82" s="17" t="s">
        <v>36</v>
      </c>
      <c r="D82" s="57"/>
      <c r="E82" s="2"/>
      <c r="F82" s="2"/>
      <c r="G82" s="63"/>
      <c r="H82" s="2"/>
      <c r="I82" s="20"/>
      <c r="J82" s="21"/>
      <c r="K82" s="21"/>
      <c r="L82" s="22"/>
      <c r="M82" s="2"/>
      <c r="N82" s="23"/>
      <c r="O82" s="19"/>
      <c r="P82" s="19"/>
      <c r="Q82" s="19"/>
      <c r="R82" s="33"/>
      <c r="T82" s="57"/>
      <c r="U82" s="2"/>
      <c r="V82" s="2"/>
      <c r="W82" s="199">
        <f>[2]SA!O62</f>
        <v>1600</v>
      </c>
      <c r="X82" s="198"/>
      <c r="Y82" s="198"/>
      <c r="Z82" s="198"/>
      <c r="AA82" s="274"/>
      <c r="AB82" s="21"/>
      <c r="AC82" s="21"/>
      <c r="AD82" s="21"/>
      <c r="AE82" s="21"/>
      <c r="AF82" s="70"/>
      <c r="AG82" s="20"/>
      <c r="AH82" s="21"/>
      <c r="AI82" s="21"/>
      <c r="AJ82" s="22">
        <f t="shared" si="10"/>
        <v>1600</v>
      </c>
      <c r="AK82" s="29"/>
      <c r="AL82" s="19"/>
      <c r="AM82" s="57"/>
      <c r="AN82" s="198"/>
      <c r="AO82" s="2"/>
      <c r="AP82" s="63"/>
      <c r="AQ82" s="68"/>
      <c r="AR82" s="21"/>
      <c r="AS82" s="21"/>
      <c r="AT82" s="21"/>
      <c r="AU82" s="240"/>
      <c r="AV82" s="19"/>
      <c r="AW82" s="19"/>
      <c r="AX82" s="68"/>
      <c r="AY82" s="238"/>
      <c r="BB82" s="243"/>
      <c r="BC82" s="24"/>
      <c r="BR82" s="317"/>
      <c r="BS82" s="317"/>
      <c r="BT82" s="317"/>
      <c r="BU82" s="314"/>
      <c r="BV82" s="314"/>
      <c r="BW82" s="314"/>
      <c r="BX82" s="314"/>
      <c r="BY82" s="314"/>
      <c r="BZ82" s="314"/>
      <c r="CA82" s="314"/>
      <c r="CB82" s="314"/>
      <c r="CC82" s="317"/>
    </row>
    <row r="83" spans="1:81" s="90" customFormat="1">
      <c r="A83" s="699"/>
      <c r="B83" s="91" t="s">
        <v>43</v>
      </c>
      <c r="C83" s="92"/>
      <c r="D83" s="93"/>
      <c r="E83" s="94"/>
      <c r="F83" s="94"/>
      <c r="G83" s="95"/>
      <c r="H83" s="94"/>
      <c r="I83" s="96"/>
      <c r="J83" s="97"/>
      <c r="K83" s="97"/>
      <c r="L83" s="98"/>
      <c r="M83" s="94"/>
      <c r="N83" s="96"/>
      <c r="O83" s="97"/>
      <c r="P83" s="97"/>
      <c r="Q83" s="97"/>
      <c r="R83" s="99"/>
      <c r="T83" s="93"/>
      <c r="U83" s="94"/>
      <c r="V83" s="94"/>
      <c r="W83" s="211">
        <f>SUM(W79:W82)</f>
        <v>10000</v>
      </c>
      <c r="X83" s="289"/>
      <c r="Y83" s="289"/>
      <c r="Z83" s="289"/>
      <c r="AA83" s="280"/>
      <c r="AB83" s="97"/>
      <c r="AC83" s="97"/>
      <c r="AD83" s="97"/>
      <c r="AE83" s="97"/>
      <c r="AF83" s="101"/>
      <c r="AG83" s="96"/>
      <c r="AH83" s="97"/>
      <c r="AI83" s="97"/>
      <c r="AJ83" s="98">
        <f t="shared" si="10"/>
        <v>10000</v>
      </c>
      <c r="AK83" s="102">
        <f>SUM(AK79:AK82)</f>
        <v>0</v>
      </c>
      <c r="AL83" s="103"/>
      <c r="AM83" s="93"/>
      <c r="AN83" s="204"/>
      <c r="AO83" s="94"/>
      <c r="AP83" s="95"/>
      <c r="AQ83" s="100"/>
      <c r="AR83" s="97"/>
      <c r="AS83" s="97"/>
      <c r="AT83" s="97"/>
      <c r="AU83" s="104"/>
      <c r="AV83" s="97"/>
      <c r="AW83" s="97"/>
      <c r="AX83" s="100"/>
      <c r="AY83" s="239"/>
      <c r="BB83" s="243"/>
      <c r="BC83" s="105"/>
      <c r="BG83" s="143"/>
      <c r="BR83" s="334"/>
      <c r="BS83" s="334"/>
      <c r="BT83" s="317"/>
      <c r="BU83" s="317"/>
      <c r="BV83" s="317"/>
      <c r="BW83" s="317"/>
      <c r="BX83" s="317"/>
      <c r="BY83" s="317"/>
      <c r="BZ83" s="317"/>
      <c r="CA83" s="317"/>
      <c r="CB83" s="317"/>
      <c r="CC83" s="334"/>
    </row>
    <row r="84" spans="1:81" s="106" customFormat="1">
      <c r="A84" s="699"/>
      <c r="B84" s="107" t="s">
        <v>67</v>
      </c>
      <c r="C84" s="108"/>
      <c r="D84" s="109"/>
      <c r="E84" s="110"/>
      <c r="F84" s="110"/>
      <c r="G84" s="111"/>
      <c r="H84" s="110"/>
      <c r="I84" s="112">
        <f>D97*[2]SA!$K$368</f>
        <v>30702.817165679367</v>
      </c>
      <c r="J84" s="113">
        <f>(E97-G92)*[2]SA!L$229</f>
        <v>21700.599591454691</v>
      </c>
      <c r="K84" s="113">
        <f>F97*[2]SA!M$229</f>
        <v>6314.9893418100228</v>
      </c>
      <c r="L84" s="114">
        <f>SUM(I84:K84)</f>
        <v>58718.406098944084</v>
      </c>
      <c r="M84" s="110"/>
      <c r="N84" s="112">
        <f t="shared" ref="N84:P85" si="19">I84-AU84</f>
        <v>30702.817165679367</v>
      </c>
      <c r="O84" s="113">
        <f t="shared" si="19"/>
        <v>21700.599591454691</v>
      </c>
      <c r="P84" s="113">
        <f t="shared" si="19"/>
        <v>6314.9893418100228</v>
      </c>
      <c r="Q84" s="114">
        <f>SUM(N84:P84)</f>
        <v>58718.406098944084</v>
      </c>
      <c r="R84" s="115">
        <f>Q84/[2]Popn!$F$42*1000</f>
        <v>36.144969205733425</v>
      </c>
      <c r="T84" s="109"/>
      <c r="U84" s="110"/>
      <c r="V84" s="110"/>
      <c r="W84" s="203">
        <f>W78+W83</f>
        <v>20480</v>
      </c>
      <c r="X84" s="130"/>
      <c r="Y84" s="130"/>
      <c r="Z84" s="130"/>
      <c r="AA84" s="276"/>
      <c r="AB84" s="113"/>
      <c r="AC84" s="113"/>
      <c r="AD84" s="113"/>
      <c r="AE84" s="113"/>
      <c r="AF84" s="117"/>
      <c r="AG84" s="112"/>
      <c r="AH84" s="113"/>
      <c r="AI84" s="113"/>
      <c r="AJ84" s="114">
        <f t="shared" si="10"/>
        <v>20480</v>
      </c>
      <c r="AK84" s="115">
        <f>AK78+AK83</f>
        <v>0</v>
      </c>
      <c r="AL84" s="119"/>
      <c r="AM84" s="109"/>
      <c r="AN84" s="130">
        <f>[2]SA!$M$162*[2]SA!$M$156</f>
        <v>16500</v>
      </c>
      <c r="AO84" s="110"/>
      <c r="AP84" s="111"/>
      <c r="AQ84" s="116"/>
      <c r="AR84" s="113"/>
      <c r="AS84" s="113"/>
      <c r="AT84" s="113"/>
      <c r="AU84" s="120"/>
      <c r="AV84" s="113"/>
      <c r="AW84" s="113"/>
      <c r="AX84" s="116"/>
      <c r="AY84" s="237"/>
      <c r="AZ84" s="242">
        <f>AN84</f>
        <v>16500</v>
      </c>
      <c r="BB84" s="243">
        <f t="shared" si="18"/>
        <v>16500</v>
      </c>
      <c r="BC84" s="118">
        <f>BB84/[2]Popn!$F$42*1000</f>
        <v>10.156815069020174</v>
      </c>
      <c r="BG84" s="144"/>
      <c r="BR84" s="314"/>
      <c r="BS84" s="314"/>
      <c r="BT84" s="317"/>
      <c r="BU84" s="317"/>
      <c r="BV84" s="317"/>
      <c r="BW84" s="317"/>
      <c r="BX84" s="317"/>
      <c r="BY84" s="317"/>
      <c r="BZ84" s="317"/>
      <c r="CA84" s="317"/>
      <c r="CB84" s="317"/>
      <c r="CC84" s="314"/>
    </row>
    <row r="85" spans="1:81" s="106" customFormat="1">
      <c r="A85" s="699"/>
      <c r="B85" s="37" t="s">
        <v>8</v>
      </c>
      <c r="C85" s="129" t="s">
        <v>8</v>
      </c>
      <c r="D85" s="109"/>
      <c r="E85" s="110"/>
      <c r="F85" s="110"/>
      <c r="G85" s="111"/>
      <c r="H85" s="110"/>
      <c r="I85" s="112">
        <f>D97*[2]SA!$K$369</f>
        <v>13266.316164335303</v>
      </c>
      <c r="J85" s="113">
        <f>(E97-G92)*[2]SA!L$230</f>
        <v>2180.8660521968955</v>
      </c>
      <c r="K85" s="113">
        <f>F97*[2]SA!M$230</f>
        <v>659.01271503365751</v>
      </c>
      <c r="L85" s="114">
        <f>SUM(I85:K85)</f>
        <v>16106.194931565857</v>
      </c>
      <c r="M85" s="110"/>
      <c r="N85" s="112">
        <f t="shared" si="19"/>
        <v>13266.316164335303</v>
      </c>
      <c r="O85" s="113">
        <f t="shared" si="19"/>
        <v>2180.8660521968955</v>
      </c>
      <c r="P85" s="113">
        <f t="shared" si="19"/>
        <v>659.01271503365751</v>
      </c>
      <c r="Q85" s="114">
        <f>SUM(N85:P85)</f>
        <v>16106.194931565857</v>
      </c>
      <c r="R85" s="115">
        <f>Q85/[2]Popn!$F$42*1000</f>
        <v>9.9144026294245133</v>
      </c>
      <c r="T85" s="109"/>
      <c r="U85" s="110"/>
      <c r="V85" s="110"/>
      <c r="W85" s="199">
        <f>[2]SA!O63</f>
        <v>57000</v>
      </c>
      <c r="X85" s="198"/>
      <c r="Y85" s="198"/>
      <c r="Z85" s="198"/>
      <c r="AA85" s="276"/>
      <c r="AB85" s="113"/>
      <c r="AC85" s="113"/>
      <c r="AD85" s="113"/>
      <c r="AE85" s="113"/>
      <c r="AF85" s="117"/>
      <c r="AG85" s="112"/>
      <c r="AH85" s="113"/>
      <c r="AI85" s="113"/>
      <c r="AJ85" s="114">
        <f t="shared" si="10"/>
        <v>57000</v>
      </c>
      <c r="AK85" s="118">
        <f>AJ85/[2]Popn!$F$42*1000</f>
        <v>35.087179329342426</v>
      </c>
      <c r="AL85" s="119"/>
      <c r="AM85" s="109"/>
      <c r="AN85" s="130"/>
      <c r="AO85" s="110"/>
      <c r="AP85" s="111"/>
      <c r="AQ85" s="116"/>
      <c r="AR85" s="113"/>
      <c r="AS85" s="113"/>
      <c r="AT85" s="113"/>
      <c r="AU85" s="120"/>
      <c r="AV85" s="113"/>
      <c r="AW85" s="113"/>
      <c r="AX85" s="116"/>
      <c r="AY85" s="237"/>
      <c r="BB85" s="243"/>
      <c r="BC85" s="121"/>
      <c r="BG85" s="144"/>
      <c r="BR85" s="314"/>
      <c r="BS85" s="314"/>
      <c r="BT85" s="314"/>
      <c r="BU85" s="317"/>
      <c r="BV85" s="317"/>
      <c r="BW85" s="317"/>
      <c r="BX85" s="317"/>
      <c r="BY85" s="317"/>
      <c r="BZ85" s="317"/>
      <c r="CA85" s="317"/>
      <c r="CB85" s="317"/>
      <c r="CC85" s="314"/>
    </row>
    <row r="86" spans="1:81">
      <c r="A86" s="699"/>
      <c r="B86" s="23" t="s">
        <v>7</v>
      </c>
      <c r="C86" s="17" t="s">
        <v>9</v>
      </c>
      <c r="D86" s="57"/>
      <c r="E86" s="2"/>
      <c r="F86" s="2"/>
      <c r="G86" s="63"/>
      <c r="H86" s="2"/>
      <c r="I86" s="20">
        <f>D97*[2]SA!$K$370</f>
        <v>13684.684222417089</v>
      </c>
      <c r="J86" s="21"/>
      <c r="K86" s="21"/>
      <c r="L86" s="22"/>
      <c r="M86" s="2"/>
      <c r="N86" s="20"/>
      <c r="O86" s="21"/>
      <c r="P86" s="21"/>
      <c r="Q86" s="22"/>
      <c r="R86" s="34"/>
      <c r="T86" s="57"/>
      <c r="U86" s="2"/>
      <c r="V86" s="2"/>
      <c r="W86" s="199">
        <f>[2]SA!O64</f>
        <v>3900</v>
      </c>
      <c r="X86" s="198"/>
      <c r="Y86" s="198"/>
      <c r="Z86" s="198"/>
      <c r="AA86" s="274"/>
      <c r="AB86" s="21"/>
      <c r="AC86" s="21"/>
      <c r="AD86" s="21"/>
      <c r="AE86" s="21"/>
      <c r="AF86" s="70"/>
      <c r="AG86" s="20"/>
      <c r="AH86" s="21"/>
      <c r="AI86" s="21"/>
      <c r="AJ86" s="22">
        <f t="shared" si="10"/>
        <v>3900</v>
      </c>
      <c r="AK86" s="29">
        <f>AJ86/[2]Popn!$F$42*1000</f>
        <v>2.4007017435865867</v>
      </c>
      <c r="AL86" s="19"/>
      <c r="AM86" s="57"/>
      <c r="AN86" s="198">
        <f>[2]SA!$M$163*[2]SA!$M$156</f>
        <v>5500</v>
      </c>
      <c r="AO86" s="2"/>
      <c r="AP86" s="63"/>
      <c r="AQ86" s="68"/>
      <c r="AR86" s="21"/>
      <c r="AS86" s="35"/>
      <c r="AT86" s="21"/>
      <c r="AU86" s="25"/>
      <c r="AV86" s="21"/>
      <c r="AW86" s="21"/>
      <c r="AX86" s="68"/>
      <c r="AY86" s="238"/>
      <c r="AZ86" s="52">
        <f>AN86</f>
        <v>5500</v>
      </c>
      <c r="BB86" s="243"/>
      <c r="BC86" s="29"/>
      <c r="BR86" s="337"/>
      <c r="BS86" s="337"/>
      <c r="BT86" s="337"/>
      <c r="BU86" s="314"/>
      <c r="BV86" s="314"/>
      <c r="BW86" s="314"/>
      <c r="BX86" s="314"/>
      <c r="BY86" s="314"/>
      <c r="BZ86" s="314"/>
      <c r="CA86" s="314"/>
      <c r="CB86" s="314"/>
      <c r="CC86" s="337"/>
    </row>
    <row r="87" spans="1:81">
      <c r="A87" s="699"/>
      <c r="B87" s="23"/>
      <c r="C87" s="17" t="s">
        <v>10</v>
      </c>
      <c r="D87" s="57"/>
      <c r="E87" s="2"/>
      <c r="F87" s="2"/>
      <c r="G87" s="63"/>
      <c r="H87" s="2"/>
      <c r="I87" s="20">
        <f>D97*[2]SA!$K$371</f>
        <v>0</v>
      </c>
      <c r="J87" s="21"/>
      <c r="K87" s="21"/>
      <c r="L87" s="22"/>
      <c r="M87" s="2"/>
      <c r="N87" s="20"/>
      <c r="O87" s="21"/>
      <c r="P87" s="21"/>
      <c r="Q87" s="22"/>
      <c r="R87" s="33"/>
      <c r="T87" s="57"/>
      <c r="U87" s="2"/>
      <c r="V87" s="2"/>
      <c r="W87" s="199">
        <f>[2]SA!O65</f>
        <v>15000</v>
      </c>
      <c r="X87" s="198"/>
      <c r="Y87" s="198"/>
      <c r="Z87" s="198"/>
      <c r="AA87" s="274"/>
      <c r="AB87" s="21"/>
      <c r="AC87" s="21"/>
      <c r="AD87" s="21"/>
      <c r="AE87" s="21"/>
      <c r="AF87" s="70"/>
      <c r="AG87" s="20"/>
      <c r="AH87" s="21"/>
      <c r="AI87" s="21"/>
      <c r="AJ87" s="22">
        <f t="shared" si="10"/>
        <v>15000</v>
      </c>
      <c r="AK87" s="29">
        <f>AJ87/[2]Popn!$F$42*1000</f>
        <v>9.233468244563797</v>
      </c>
      <c r="AL87" s="19"/>
      <c r="AM87" s="57"/>
      <c r="AN87" s="2"/>
      <c r="AO87" s="2"/>
      <c r="AP87" s="63"/>
      <c r="AQ87" s="68"/>
      <c r="AR87" s="21"/>
      <c r="AS87" s="21"/>
      <c r="AT87" s="21"/>
      <c r="AU87" s="240"/>
      <c r="AV87" s="21"/>
      <c r="AW87" s="19"/>
      <c r="AX87" s="68"/>
      <c r="AY87" s="238"/>
      <c r="BB87" s="243"/>
      <c r="BC87" s="29"/>
      <c r="BR87" s="337"/>
      <c r="BS87" s="337"/>
      <c r="BT87" s="337"/>
      <c r="BU87" s="338" t="s">
        <v>2</v>
      </c>
      <c r="BV87" s="337"/>
      <c r="BW87" s="337"/>
      <c r="BX87" s="337"/>
      <c r="BY87" s="337"/>
      <c r="BZ87" s="337"/>
      <c r="CA87" s="337"/>
      <c r="CB87" s="337"/>
      <c r="CC87" s="337"/>
    </row>
    <row r="88" spans="1:81" s="106" customFormat="1">
      <c r="A88" s="699"/>
      <c r="B88" s="107" t="s">
        <v>67</v>
      </c>
      <c r="C88" s="108"/>
      <c r="D88" s="109"/>
      <c r="E88" s="110"/>
      <c r="F88" s="110"/>
      <c r="G88" s="111"/>
      <c r="H88" s="110"/>
      <c r="I88" s="112">
        <f>SUM(I86:I87)</f>
        <v>13684.684222417089</v>
      </c>
      <c r="J88" s="113">
        <f>(E97-G92)*[2]SA!L$231</f>
        <v>12711.894916859377</v>
      </c>
      <c r="K88" s="113">
        <f>F97*[2]SA!M$231</f>
        <v>8402.4121166791319</v>
      </c>
      <c r="L88" s="114">
        <f>SUM(I88:K88)</f>
        <v>34798.991255955596</v>
      </c>
      <c r="M88" s="110"/>
      <c r="N88" s="112">
        <f>I88-AU88</f>
        <v>12011.114201527413</v>
      </c>
      <c r="O88" s="113">
        <f>J88-AV88</f>
        <v>11157.29227526491</v>
      </c>
      <c r="P88" s="113">
        <f>K88-AW88</f>
        <v>7374.8381666277928</v>
      </c>
      <c r="Q88" s="114">
        <f>SUM(N88:P88)</f>
        <v>30543.244643420116</v>
      </c>
      <c r="R88" s="115">
        <f>Q88/[2]Popn!$F$42*1000</f>
        <v>18.801338633397528</v>
      </c>
      <c r="T88" s="109"/>
      <c r="U88" s="110"/>
      <c r="V88" s="110"/>
      <c r="W88" s="203">
        <f>SUM(W86:W87)</f>
        <v>18900</v>
      </c>
      <c r="X88" s="130"/>
      <c r="Y88" s="130"/>
      <c r="Z88" s="130"/>
      <c r="AA88" s="276"/>
      <c r="AB88" s="113"/>
      <c r="AC88" s="113"/>
      <c r="AD88" s="113"/>
      <c r="AE88" s="113"/>
      <c r="AF88" s="117"/>
      <c r="AG88" s="112"/>
      <c r="AH88" s="113"/>
      <c r="AI88" s="113"/>
      <c r="AJ88" s="114">
        <f t="shared" si="10"/>
        <v>18900</v>
      </c>
      <c r="AK88" s="118">
        <f>SUM(AK86:AK87)</f>
        <v>11.634169988150383</v>
      </c>
      <c r="AL88" s="119"/>
      <c r="AM88" s="109"/>
      <c r="AN88" s="110"/>
      <c r="AO88" s="110"/>
      <c r="AP88" s="111"/>
      <c r="AQ88" s="116"/>
      <c r="AR88" s="113">
        <f>L88*'[2]Lfill en &amp; composn'!$D$25</f>
        <v>5480.8411228130062</v>
      </c>
      <c r="AS88" s="113">
        <f>AR88/SUM($AR$7:$AR$49)</f>
        <v>7.704308202102543E-2</v>
      </c>
      <c r="AT88" s="113">
        <f>AS88*'[2]Lfill en &amp; composn'!$F$64/'[2]Lfill en &amp; composn'!$B$25</f>
        <v>4255.7466125354822</v>
      </c>
      <c r="AU88" s="120">
        <f>$AT88*I88/SUM($I88:$K88)</f>
        <v>1673.5700208896767</v>
      </c>
      <c r="AV88" s="113">
        <f>$AT88*J88/SUM($I88:$K88)</f>
        <v>1554.6026415944666</v>
      </c>
      <c r="AW88" s="113">
        <f>$AT88*K88/SUM($I88:$K88)</f>
        <v>1027.5739500513394</v>
      </c>
      <c r="AX88" s="116"/>
      <c r="AY88" s="241">
        <f>AU88</f>
        <v>1673.5700208896767</v>
      </c>
      <c r="AZ88" s="242">
        <f>AV88+AZ86</f>
        <v>7054.6026415944671</v>
      </c>
      <c r="BA88" s="242">
        <f>AW88</f>
        <v>1027.5739500513394</v>
      </c>
      <c r="BB88" s="243">
        <f t="shared" si="18"/>
        <v>9755.7466125354822</v>
      </c>
      <c r="BC88" s="118">
        <f>BB88/[2]Popn!$F$42*1000</f>
        <v>6.0052917699238133</v>
      </c>
      <c r="BD88" s="122"/>
      <c r="BG88" s="144"/>
      <c r="BR88" s="340"/>
      <c r="BS88" s="340"/>
      <c r="BT88" s="340"/>
      <c r="BU88" s="337"/>
      <c r="BV88" s="339" t="s">
        <v>72</v>
      </c>
      <c r="BW88" s="339" t="s">
        <v>68</v>
      </c>
      <c r="BX88" s="339" t="s">
        <v>69</v>
      </c>
      <c r="BY88" s="337"/>
      <c r="BZ88" s="337"/>
      <c r="CA88" s="337"/>
      <c r="CB88" s="337"/>
      <c r="CC88" s="340"/>
    </row>
    <row r="89" spans="1:81">
      <c r="A89" s="699"/>
      <c r="B89" s="23" t="s">
        <v>11</v>
      </c>
      <c r="C89" s="17" t="s">
        <v>12</v>
      </c>
      <c r="D89" s="57"/>
      <c r="E89" s="2"/>
      <c r="F89" s="2"/>
      <c r="G89" s="63"/>
      <c r="H89" s="2"/>
      <c r="I89" s="20"/>
      <c r="J89" s="21"/>
      <c r="K89" s="21"/>
      <c r="L89" s="22"/>
      <c r="M89" s="2"/>
      <c r="N89" s="20"/>
      <c r="O89" s="21"/>
      <c r="P89" s="21"/>
      <c r="Q89" s="22"/>
      <c r="R89" s="33"/>
      <c r="T89" s="57"/>
      <c r="U89" s="2"/>
      <c r="V89" s="2"/>
      <c r="W89" s="199"/>
      <c r="X89" s="198"/>
      <c r="Y89" s="198"/>
      <c r="Z89" s="198"/>
      <c r="AA89" s="274"/>
      <c r="AB89" s="21"/>
      <c r="AC89" s="21"/>
      <c r="AD89" s="21"/>
      <c r="AE89" s="21"/>
      <c r="AF89" s="70"/>
      <c r="AG89" s="20"/>
      <c r="AH89" s="21"/>
      <c r="AI89" s="21"/>
      <c r="AJ89" s="22">
        <f t="shared" si="10"/>
        <v>0</v>
      </c>
      <c r="AK89" s="29"/>
      <c r="AL89" s="19"/>
      <c r="AM89" s="57"/>
      <c r="AN89" s="2"/>
      <c r="AO89" s="2"/>
      <c r="AP89" s="63"/>
      <c r="AQ89" s="68"/>
      <c r="AR89" s="21"/>
      <c r="AS89" s="21"/>
      <c r="AT89" s="21"/>
      <c r="AU89" s="25"/>
      <c r="AV89" s="21"/>
      <c r="AW89" s="22"/>
      <c r="AX89" s="2"/>
      <c r="AY89" s="23"/>
      <c r="AZ89" s="19"/>
      <c r="BA89" s="19"/>
      <c r="BB89" s="243"/>
      <c r="BC89" s="24"/>
      <c r="BR89" s="337"/>
      <c r="BS89" s="340"/>
      <c r="BT89" s="340"/>
      <c r="BU89" s="349" t="s">
        <v>100</v>
      </c>
      <c r="BV89" s="341">
        <f>BH166</f>
        <v>424.0111759316373</v>
      </c>
      <c r="BW89" s="341">
        <f>BI166</f>
        <v>571.72699999999998</v>
      </c>
      <c r="BX89" s="341">
        <f>BJ166</f>
        <v>87.177788641760685</v>
      </c>
      <c r="BY89" s="340"/>
      <c r="BZ89" s="340"/>
      <c r="CA89" s="340"/>
      <c r="CB89" s="340"/>
      <c r="CC89" s="337"/>
    </row>
    <row r="90" spans="1:81">
      <c r="A90" s="699"/>
      <c r="B90" s="23"/>
      <c r="C90" s="17" t="s">
        <v>13</v>
      </c>
      <c r="D90" s="57"/>
      <c r="E90" s="2"/>
      <c r="F90" s="2"/>
      <c r="G90" s="156"/>
      <c r="H90" s="3"/>
      <c r="I90" s="20"/>
      <c r="J90" s="21"/>
      <c r="K90" s="21"/>
      <c r="L90" s="22"/>
      <c r="M90" s="83"/>
      <c r="N90" s="20"/>
      <c r="O90" s="21"/>
      <c r="P90" s="21"/>
      <c r="Q90" s="22"/>
      <c r="R90" s="34"/>
      <c r="T90" s="57"/>
      <c r="U90" s="2"/>
      <c r="V90" s="2"/>
      <c r="W90" s="199"/>
      <c r="X90" s="198"/>
      <c r="Y90" s="198"/>
      <c r="Z90" s="198"/>
      <c r="AA90" s="282"/>
      <c r="AB90" s="21"/>
      <c r="AC90" s="21"/>
      <c r="AD90" s="21"/>
      <c r="AE90" s="21"/>
      <c r="AF90" s="70"/>
      <c r="AG90" s="20"/>
      <c r="AH90" s="21"/>
      <c r="AI90" s="21"/>
      <c r="AJ90" s="22">
        <f t="shared" si="10"/>
        <v>0</v>
      </c>
      <c r="AK90" s="29"/>
      <c r="AL90" s="19"/>
      <c r="AM90" s="57"/>
      <c r="AN90" s="2"/>
      <c r="AO90" s="2"/>
      <c r="AP90" s="64"/>
      <c r="AQ90" s="69"/>
      <c r="AR90" s="21"/>
      <c r="AS90" s="21"/>
      <c r="AT90" s="21"/>
      <c r="AU90" s="25"/>
      <c r="AV90" s="21"/>
      <c r="AW90" s="22"/>
      <c r="AX90" s="2"/>
      <c r="AY90" s="20"/>
      <c r="AZ90" s="21"/>
      <c r="BA90" s="21"/>
      <c r="BB90" s="243"/>
      <c r="BC90" s="24"/>
      <c r="BR90" s="337"/>
      <c r="BS90" s="337"/>
      <c r="BT90" s="347" t="s">
        <v>107</v>
      </c>
      <c r="BU90" s="350" t="s">
        <v>104</v>
      </c>
      <c r="BV90" s="313">
        <f>AVERAGE(BV89,BV91)</f>
        <v>414.22028764334902</v>
      </c>
      <c r="BW90" s="313">
        <f>AVERAGE(BW89,BW91)</f>
        <v>538.31849999999997</v>
      </c>
      <c r="BX90" s="313">
        <f>AVERAGE(BX89,BX91)</f>
        <v>94.532348683894838</v>
      </c>
      <c r="BY90" s="337"/>
      <c r="BZ90" s="337"/>
      <c r="CA90" s="337"/>
      <c r="CB90" s="337"/>
      <c r="CC90" s="337"/>
    </row>
    <row r="91" spans="1:81">
      <c r="A91" s="699"/>
      <c r="B91" s="23"/>
      <c r="C91" s="17" t="s">
        <v>14</v>
      </c>
      <c r="D91" s="57"/>
      <c r="E91" s="2"/>
      <c r="F91" s="2"/>
      <c r="G91" s="156"/>
      <c r="H91" s="3"/>
      <c r="I91" s="20"/>
      <c r="J91" s="21"/>
      <c r="K91" s="21"/>
      <c r="L91" s="22"/>
      <c r="M91" s="83"/>
      <c r="N91" s="20"/>
      <c r="O91" s="21"/>
      <c r="P91" s="21"/>
      <c r="Q91" s="22"/>
      <c r="R91" s="34"/>
      <c r="T91" s="57"/>
      <c r="U91" s="2"/>
      <c r="V91" s="2"/>
      <c r="W91" s="199"/>
      <c r="X91" s="198"/>
      <c r="Y91" s="198"/>
      <c r="Z91" s="198"/>
      <c r="AA91" s="282"/>
      <c r="AB91" s="21"/>
      <c r="AC91" s="21"/>
      <c r="AD91" s="21"/>
      <c r="AE91" s="21"/>
      <c r="AF91" s="70"/>
      <c r="AG91" s="20"/>
      <c r="AH91" s="21"/>
      <c r="AI91" s="21"/>
      <c r="AJ91" s="22">
        <f t="shared" si="10"/>
        <v>0</v>
      </c>
      <c r="AK91" s="29"/>
      <c r="AL91" s="19"/>
      <c r="AM91" s="57"/>
      <c r="AN91" s="2"/>
      <c r="AO91" s="2"/>
      <c r="AP91" s="64"/>
      <c r="AQ91" s="69"/>
      <c r="AR91" s="21"/>
      <c r="AS91" s="21"/>
      <c r="AT91" s="21"/>
      <c r="AU91" s="25"/>
      <c r="AV91" s="21"/>
      <c r="AW91" s="22"/>
      <c r="AX91" s="2"/>
      <c r="AY91" s="23"/>
      <c r="AZ91" s="19"/>
      <c r="BA91" s="19"/>
      <c r="BB91" s="243"/>
      <c r="BC91" s="24"/>
      <c r="BR91" s="337"/>
      <c r="BS91" s="337"/>
      <c r="BT91" s="337"/>
      <c r="BU91" s="351" t="s">
        <v>101</v>
      </c>
      <c r="BV91" s="341">
        <f>BH119</f>
        <v>404.42939935506075</v>
      </c>
      <c r="BW91" s="341">
        <f>BI119</f>
        <v>504.91</v>
      </c>
      <c r="BX91" s="341">
        <f>BJ119</f>
        <v>101.88690872602898</v>
      </c>
      <c r="BY91" s="337"/>
      <c r="BZ91" s="337"/>
      <c r="CA91" s="337"/>
      <c r="CB91" s="337"/>
      <c r="CC91" s="337"/>
    </row>
    <row r="92" spans="1:81">
      <c r="A92" s="699"/>
      <c r="B92" s="23"/>
      <c r="C92" s="17" t="s">
        <v>15</v>
      </c>
      <c r="D92" s="57"/>
      <c r="E92" s="2"/>
      <c r="F92" s="2"/>
      <c r="G92" s="156">
        <f>'[2]Haz-SA'!$P$23</f>
        <v>7591.58</v>
      </c>
      <c r="H92" s="3"/>
      <c r="I92" s="20"/>
      <c r="J92" s="21">
        <f>G92</f>
        <v>7591.58</v>
      </c>
      <c r="K92" s="21"/>
      <c r="L92" s="22"/>
      <c r="M92" s="83"/>
      <c r="N92" s="20"/>
      <c r="O92" s="21"/>
      <c r="P92" s="21"/>
      <c r="Q92" s="22"/>
      <c r="R92" s="34"/>
      <c r="T92" s="57"/>
      <c r="U92" s="2"/>
      <c r="V92" s="2"/>
      <c r="W92" s="199"/>
      <c r="X92" s="198"/>
      <c r="Y92" s="198"/>
      <c r="Z92" s="198"/>
      <c r="AA92" s="282"/>
      <c r="AB92" s="21"/>
      <c r="AC92" s="21"/>
      <c r="AD92" s="21"/>
      <c r="AE92" s="21"/>
      <c r="AF92" s="70"/>
      <c r="AG92" s="20"/>
      <c r="AH92" s="21"/>
      <c r="AI92" s="21"/>
      <c r="AJ92" s="22">
        <f t="shared" si="10"/>
        <v>0</v>
      </c>
      <c r="AK92" s="29"/>
      <c r="AL92" s="19"/>
      <c r="AM92" s="57"/>
      <c r="AN92" s="2"/>
      <c r="AO92" s="2"/>
      <c r="AP92" s="64"/>
      <c r="AQ92" s="69"/>
      <c r="AR92" s="21"/>
      <c r="AS92" s="21"/>
      <c r="AT92" s="21"/>
      <c r="AU92" s="25"/>
      <c r="AV92" s="21"/>
      <c r="AW92" s="22"/>
      <c r="AX92" s="2"/>
      <c r="AY92" s="23"/>
      <c r="AZ92" s="19"/>
      <c r="BA92" s="19"/>
      <c r="BB92" s="243"/>
      <c r="BC92" s="24"/>
      <c r="BR92" s="337"/>
      <c r="BS92" s="337"/>
      <c r="BT92" s="337"/>
      <c r="BU92" s="352" t="s">
        <v>102</v>
      </c>
      <c r="BV92" s="341">
        <f>BH72</f>
        <v>380.47731006711939</v>
      </c>
      <c r="BW92" s="341">
        <f>BI72</f>
        <v>635.79999999999995</v>
      </c>
      <c r="BX92" s="341">
        <f>BJ72</f>
        <v>99.926241471980646</v>
      </c>
      <c r="BY92" s="337"/>
      <c r="BZ92" s="337"/>
      <c r="CA92" s="337"/>
      <c r="CB92" s="337"/>
      <c r="CC92" s="337"/>
    </row>
    <row r="93" spans="1:81" s="106" customFormat="1">
      <c r="A93" s="699"/>
      <c r="B93" s="107" t="s">
        <v>67</v>
      </c>
      <c r="C93" s="108"/>
      <c r="D93" s="109"/>
      <c r="E93" s="110"/>
      <c r="F93" s="110"/>
      <c r="G93" s="124"/>
      <c r="H93" s="125"/>
      <c r="I93" s="112">
        <f>D97*[2]SA!$K$372</f>
        <v>2004.1179556498382</v>
      </c>
      <c r="J93" s="113">
        <f>SUM(J89:J92)</f>
        <v>7591.58</v>
      </c>
      <c r="K93" s="113">
        <f>F97*[2]SA!M$232</f>
        <v>157339.28571428574</v>
      </c>
      <c r="L93" s="114">
        <f>SUM(I93:K93)</f>
        <v>166934.98366993558</v>
      </c>
      <c r="M93" s="110"/>
      <c r="N93" s="112">
        <f>I93-AU93</f>
        <v>2004.1179556498382</v>
      </c>
      <c r="O93" s="113">
        <f>J93-AV93</f>
        <v>7591.58</v>
      </c>
      <c r="P93" s="113">
        <f>K93-AW93</f>
        <v>157339.28571428574</v>
      </c>
      <c r="Q93" s="114">
        <f>SUM(N93:P93)</f>
        <v>166934.98366993558</v>
      </c>
      <c r="R93" s="115">
        <f>Q93/[2]Popn!$F$42*1000</f>
        <v>102.75925804154173</v>
      </c>
      <c r="T93" s="109"/>
      <c r="U93" s="110"/>
      <c r="V93" s="110"/>
      <c r="W93" s="203">
        <f>SUM(W89:W92)</f>
        <v>0</v>
      </c>
      <c r="X93" s="130"/>
      <c r="Y93" s="130"/>
      <c r="Z93" s="130"/>
      <c r="AA93" s="284"/>
      <c r="AB93" s="113"/>
      <c r="AC93" s="113"/>
      <c r="AD93" s="113"/>
      <c r="AE93" s="113"/>
      <c r="AF93" s="117"/>
      <c r="AG93" s="112"/>
      <c r="AH93" s="113"/>
      <c r="AI93" s="113"/>
      <c r="AJ93" s="114">
        <f t="shared" si="10"/>
        <v>0</v>
      </c>
      <c r="AK93" s="118">
        <f>SUM(AK89:AK92)</f>
        <v>0</v>
      </c>
      <c r="AL93" s="119"/>
      <c r="AM93" s="109"/>
      <c r="AN93" s="110"/>
      <c r="AO93" s="110"/>
      <c r="AP93" s="124"/>
      <c r="AQ93" s="126"/>
      <c r="AR93" s="113"/>
      <c r="AS93" s="113"/>
      <c r="AT93" s="113"/>
      <c r="AU93" s="120"/>
      <c r="AV93" s="113"/>
      <c r="AW93" s="114"/>
      <c r="AX93" s="110"/>
      <c r="AY93" s="127"/>
      <c r="AZ93" s="119"/>
      <c r="BA93" s="119"/>
      <c r="BB93" s="243"/>
      <c r="BC93" s="121"/>
      <c r="BG93" s="144"/>
      <c r="BR93" s="340"/>
      <c r="BS93" s="340"/>
      <c r="BT93" s="340"/>
      <c r="BU93" s="351" t="s">
        <v>103</v>
      </c>
      <c r="BV93" s="341">
        <f>BH25</f>
        <v>368.98316470429313</v>
      </c>
      <c r="BW93" s="341">
        <f>BI25</f>
        <v>954.4</v>
      </c>
      <c r="BX93" s="341">
        <f>BJ25</f>
        <v>99.772142751382333</v>
      </c>
      <c r="BY93" s="337"/>
      <c r="BZ93" s="337"/>
      <c r="CA93" s="337"/>
      <c r="CB93" s="337"/>
      <c r="CC93" s="340"/>
    </row>
    <row r="94" spans="1:81" s="106" customFormat="1" ht="13.5" thickBot="1">
      <c r="A94" s="699"/>
      <c r="B94" s="131" t="s">
        <v>37</v>
      </c>
      <c r="C94" s="132" t="s">
        <v>1</v>
      </c>
      <c r="D94" s="109"/>
      <c r="E94" s="110"/>
      <c r="F94" s="110"/>
      <c r="G94" s="111"/>
      <c r="H94" s="130">
        <f>'[2]Fly ash'!$F$230</f>
        <v>0</v>
      </c>
      <c r="I94" s="112"/>
      <c r="J94" s="113"/>
      <c r="K94" s="113"/>
      <c r="L94" s="114"/>
      <c r="M94" s="110"/>
      <c r="N94" s="127"/>
      <c r="O94" s="119"/>
      <c r="P94" s="119"/>
      <c r="Q94" s="113">
        <f>H94</f>
        <v>0</v>
      </c>
      <c r="R94" s="115">
        <f>Q94/[2]Popn!$F$42*1000</f>
        <v>0</v>
      </c>
      <c r="T94" s="109"/>
      <c r="U94" s="110"/>
      <c r="V94" s="110"/>
      <c r="W94" s="203">
        <f>[2]SA!O66</f>
        <v>170000</v>
      </c>
      <c r="X94" s="130"/>
      <c r="Y94" s="130"/>
      <c r="Z94" s="130"/>
      <c r="AA94" s="285"/>
      <c r="AB94" s="113"/>
      <c r="AC94" s="113"/>
      <c r="AD94" s="113"/>
      <c r="AE94" s="113"/>
      <c r="AF94" s="117"/>
      <c r="AG94" s="112"/>
      <c r="AH94" s="113"/>
      <c r="AI94" s="113"/>
      <c r="AJ94" s="114">
        <f t="shared" si="10"/>
        <v>170000</v>
      </c>
      <c r="AK94" s="115">
        <f>AJ94/[2]Popn!$F$42*1000</f>
        <v>104.64597343838969</v>
      </c>
      <c r="AL94" s="119"/>
      <c r="AM94" s="109"/>
      <c r="AN94" s="110"/>
      <c r="AO94" s="110"/>
      <c r="AP94" s="111"/>
      <c r="AQ94" s="117"/>
      <c r="AR94" s="113"/>
      <c r="AS94" s="113"/>
      <c r="AT94" s="113"/>
      <c r="AU94" s="120"/>
      <c r="AV94" s="113"/>
      <c r="AW94" s="114"/>
      <c r="AX94" s="110"/>
      <c r="AY94" s="127"/>
      <c r="AZ94" s="119"/>
      <c r="BA94" s="119"/>
      <c r="BB94" s="243"/>
      <c r="BC94" s="121"/>
      <c r="BG94" s="144"/>
      <c r="BR94" s="340"/>
      <c r="BS94" s="340"/>
      <c r="BT94" s="340"/>
      <c r="BU94" s="340"/>
      <c r="BV94" s="340"/>
      <c r="BW94" s="340"/>
      <c r="BX94" s="340"/>
      <c r="BY94" s="340"/>
      <c r="BZ94" s="340"/>
      <c r="CA94" s="340"/>
      <c r="CB94" s="340"/>
      <c r="CC94" s="340"/>
    </row>
    <row r="95" spans="1:81" ht="13.5" thickBot="1">
      <c r="B95" s="19"/>
      <c r="C95" s="38"/>
      <c r="D95" s="57"/>
      <c r="E95" s="2"/>
      <c r="F95" s="2"/>
      <c r="G95" s="63"/>
      <c r="H95" s="2"/>
      <c r="I95" s="20"/>
      <c r="J95" s="21"/>
      <c r="K95" s="21"/>
      <c r="L95" s="22"/>
      <c r="M95" s="2"/>
      <c r="N95" s="23"/>
      <c r="O95" s="19"/>
      <c r="P95" s="19"/>
      <c r="Q95" s="19"/>
      <c r="R95" s="24"/>
      <c r="T95" s="57"/>
      <c r="U95" s="2"/>
      <c r="V95" s="2"/>
      <c r="W95" s="63"/>
      <c r="X95" s="2"/>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243"/>
      <c r="BC95" s="24"/>
      <c r="BR95" s="337"/>
      <c r="BS95" s="337"/>
      <c r="BT95" s="337"/>
      <c r="BU95" s="340"/>
      <c r="BV95" s="340"/>
      <c r="BW95" s="340"/>
      <c r="BX95" s="340"/>
      <c r="BY95" s="340"/>
      <c r="BZ95" s="340"/>
      <c r="CA95" s="340"/>
      <c r="CB95" s="340"/>
      <c r="CC95" s="337"/>
    </row>
    <row r="96" spans="1:81" ht="13.5" thickBot="1">
      <c r="C96" s="39" t="s">
        <v>38</v>
      </c>
      <c r="D96" s="58"/>
      <c r="E96" s="59"/>
      <c r="F96" s="2"/>
      <c r="G96" s="65"/>
      <c r="H96" s="2"/>
      <c r="I96" s="20"/>
      <c r="J96" s="21"/>
      <c r="K96" s="21"/>
      <c r="L96" s="22"/>
      <c r="M96" s="2"/>
      <c r="N96" s="23"/>
      <c r="O96" s="19"/>
      <c r="P96" s="19"/>
      <c r="Q96" s="19"/>
      <c r="R96" s="24"/>
      <c r="T96" s="58"/>
      <c r="U96" s="59"/>
      <c r="V96" s="2"/>
      <c r="W96" s="65"/>
      <c r="X96" s="198"/>
      <c r="Y96" s="198"/>
      <c r="Z96" s="198"/>
      <c r="AA96" s="274"/>
      <c r="AB96" s="21"/>
      <c r="AC96" s="21"/>
      <c r="AD96" s="21"/>
      <c r="AE96" s="21"/>
      <c r="AF96" s="70"/>
      <c r="AG96" s="20"/>
      <c r="AH96" s="21"/>
      <c r="AI96" s="21"/>
      <c r="AJ96" s="22"/>
      <c r="AK96" s="40"/>
      <c r="AL96" s="19"/>
      <c r="AM96" s="58"/>
      <c r="AN96" s="59"/>
      <c r="AO96" s="2"/>
      <c r="AP96" s="65"/>
      <c r="AQ96" s="68"/>
      <c r="AR96" s="21"/>
      <c r="AS96" s="21"/>
      <c r="AT96" s="21"/>
      <c r="AU96" s="25"/>
      <c r="AV96" s="21"/>
      <c r="AW96" s="22"/>
      <c r="AX96" s="2"/>
      <c r="AY96" s="23"/>
      <c r="AZ96" s="19"/>
      <c r="BA96" s="19"/>
      <c r="BB96" s="243"/>
      <c r="BC96" s="24"/>
      <c r="BR96" s="337"/>
      <c r="BS96" s="337"/>
      <c r="BT96" s="337"/>
      <c r="BU96" s="337"/>
      <c r="BV96" s="337"/>
      <c r="BW96" s="337"/>
      <c r="BX96" s="337"/>
      <c r="BY96" s="337"/>
      <c r="BZ96" s="337"/>
      <c r="CA96" s="337"/>
      <c r="CB96" s="337"/>
      <c r="CC96" s="337"/>
    </row>
    <row r="97" spans="1:81" ht="13.5" thickBot="1">
      <c r="C97" s="135" t="s">
        <v>92</v>
      </c>
      <c r="D97" s="291">
        <f>$G97/100*[2]SA!$I$131</f>
        <v>352440</v>
      </c>
      <c r="E97" s="291">
        <f>$G97/100*[2]SA!$I$132</f>
        <v>186010</v>
      </c>
      <c r="F97" s="291">
        <f>$G97/100*[2]SA!$I$133</f>
        <v>440550</v>
      </c>
      <c r="G97" s="66">
        <f>[2]SA!$O$23</f>
        <v>979000</v>
      </c>
      <c r="H97" s="62"/>
      <c r="I97" s="41">
        <f>SUM(I93,I88,I85,I84,I74,I69,I63,I59)</f>
        <v>352440.00000000006</v>
      </c>
      <c r="J97" s="218">
        <f>SUM(J93,J88,J85,J84,J74,J69,J63,J59)</f>
        <v>186010.00000000006</v>
      </c>
      <c r="K97" s="218">
        <f>SUM(K93,K88,K85,K84,K74,K69,K63,K59)</f>
        <v>440493.9839192222</v>
      </c>
      <c r="L97" s="42">
        <f>SUM(L93,L88,L85,L84,L74,L69,L63,L59)</f>
        <v>978943.98391922226</v>
      </c>
      <c r="M97" s="43"/>
      <c r="N97" s="44">
        <f>SUM(N93,N88,N85,N84,N74,N69,N63,N59)</f>
        <v>312524.03113458847</v>
      </c>
      <c r="O97" s="45">
        <f>SUM(O93,O88,O85,O84,O74,O69,O63,O59)</f>
        <v>166281.67425128235</v>
      </c>
      <c r="P97" s="45">
        <f>SUM(P93,P88,P85,P84,P74,P69,P63,P59)</f>
        <v>418743.92295947328</v>
      </c>
      <c r="Q97" s="133">
        <f>SUM(Q93,Q88,Q85,Q84,Q74,Q69,Q63,Q59,Q96)</f>
        <v>897549.62834534398</v>
      </c>
      <c r="R97" s="27">
        <f>SUM(R93,R88,R85,R84,R74,R69,R63,R59)</f>
        <v>552.4997327497847</v>
      </c>
      <c r="T97" s="60"/>
      <c r="U97" s="706"/>
      <c r="V97" s="707"/>
      <c r="W97" s="66"/>
      <c r="X97" s="362"/>
      <c r="Y97" s="362"/>
      <c r="Z97" s="362"/>
      <c r="AA97" s="287"/>
      <c r="AB97" s="45"/>
      <c r="AC97" s="45"/>
      <c r="AD97" s="45"/>
      <c r="AE97" s="45"/>
      <c r="AF97" s="85"/>
      <c r="AG97" s="44">
        <f>$AJ$97*[2]SA!L94</f>
        <v>340026.15384615387</v>
      </c>
      <c r="AH97" s="45">
        <f>$AJ$97*[2]SA!M94</f>
        <v>950073.07692307688</v>
      </c>
      <c r="AI97" s="45">
        <f>$AJ$97*[2]SA!N94</f>
        <v>1050080.7692307692</v>
      </c>
      <c r="AJ97" s="354">
        <f>SUM(AJ93,AJ88,AJ85,AJ84,AJ74,AJ69,AJ63,AJ59,AJ96)</f>
        <v>2340180</v>
      </c>
      <c r="AK97" s="27">
        <f>SUM(AK93,AK88,AK85,AK84,AK74,AK69,AK63,AK59,AK96)</f>
        <v>1427.9250857943093</v>
      </c>
      <c r="AL97" s="19"/>
      <c r="AM97" s="60"/>
      <c r="AN97" s="706"/>
      <c r="AO97" s="707"/>
      <c r="AP97" s="66"/>
      <c r="AQ97" s="71"/>
      <c r="AR97" s="43"/>
      <c r="AS97" s="46">
        <f>SUM(AS54:AS96)</f>
        <v>1.0018326594118785</v>
      </c>
      <c r="AT97" s="214">
        <f>SUM(AT93,AT88,AT85,AT84,AT74,AT69,AT63,AT59)</f>
        <v>81394.355573878274</v>
      </c>
      <c r="AU97" s="47"/>
      <c r="AV97" s="45"/>
      <c r="AW97" s="214"/>
      <c r="AX97" s="43"/>
      <c r="AY97" s="44">
        <f>SUM(AY93,AY88,AY85,AY84,AY74,AY69,AY63,AY59)</f>
        <v>39915.968865411611</v>
      </c>
      <c r="AZ97" s="45">
        <f>SUM(AZ93,AZ88,AZ85,AZ84,AZ74,AZ69,AZ63,AZ59)</f>
        <v>74728.325748717732</v>
      </c>
      <c r="BA97" s="45">
        <f>SUM(BA93,BA88,BA85,BA84,BA74,BA69,BA63,BA59)</f>
        <v>21750.060959748935</v>
      </c>
      <c r="BB97" s="354">
        <f>SUM(BB93,BB88,BB85,BB84,BB74,BB69,BB63,BB59,BB96)</f>
        <v>136394.35557387827</v>
      </c>
      <c r="BC97" s="27">
        <f>SUM(BC93,BC88,BC85,BC84,BC74,BC69,BC63,BC59,BC96)</f>
        <v>83.959530061943212</v>
      </c>
      <c r="BR97" s="337"/>
      <c r="BS97" s="337"/>
      <c r="BT97" s="337"/>
      <c r="BU97" s="337"/>
      <c r="BV97" s="337"/>
      <c r="BW97" s="337"/>
      <c r="BX97" s="337"/>
      <c r="BY97" s="337"/>
      <c r="BZ97" s="337"/>
      <c r="CA97" s="337"/>
      <c r="CB97" s="337"/>
      <c r="CC97" s="337"/>
    </row>
    <row r="98" spans="1:81" ht="13.5" thickBot="1">
      <c r="C98" s="136" t="s">
        <v>65</v>
      </c>
      <c r="Q98" s="49">
        <f>Q97+Q94</f>
        <v>897549.62834534398</v>
      </c>
      <c r="R98" s="216">
        <f>R97+R94</f>
        <v>552.4997327497847</v>
      </c>
      <c r="AG98" s="217"/>
      <c r="AJ98" s="353">
        <f>AJ97+AJ94</f>
        <v>2510180</v>
      </c>
      <c r="AK98" s="216">
        <f>AK97+AK94</f>
        <v>1532.5710592326991</v>
      </c>
      <c r="BB98" s="353">
        <f>BB97+BB94</f>
        <v>136394.35557387827</v>
      </c>
      <c r="BC98" s="216">
        <f>BC97+BC94</f>
        <v>83.959530061943212</v>
      </c>
      <c r="BR98" s="337"/>
      <c r="BS98" s="337"/>
      <c r="BT98" s="337"/>
      <c r="BU98" s="337"/>
      <c r="BV98" s="337"/>
      <c r="BW98" s="337"/>
      <c r="BX98" s="337"/>
      <c r="BY98" s="337"/>
      <c r="BZ98" s="337"/>
      <c r="CA98" s="337"/>
      <c r="CB98" s="337"/>
      <c r="CC98" s="337"/>
    </row>
    <row r="99" spans="1:81">
      <c r="BR99" s="337"/>
      <c r="BS99" s="337"/>
      <c r="BT99" s="337"/>
      <c r="BU99" s="337"/>
      <c r="BV99" s="337"/>
      <c r="BW99" s="337"/>
      <c r="BX99" s="337"/>
      <c r="BY99" s="337"/>
      <c r="BZ99" s="337"/>
      <c r="CA99" s="337"/>
      <c r="CB99" s="337"/>
      <c r="CC99" s="337"/>
    </row>
    <row r="100" spans="1:81" ht="13.5" thickBot="1">
      <c r="C100" s="89"/>
      <c r="AT100" s="215"/>
      <c r="AU100" s="215"/>
      <c r="AV100" s="215"/>
      <c r="AW100" s="215"/>
      <c r="AY100" s="215"/>
      <c r="AZ100" s="215"/>
      <c r="BA100" s="215"/>
      <c r="BB100" s="215"/>
      <c r="BR100" s="337"/>
      <c r="BS100" s="337"/>
      <c r="BT100" s="337"/>
      <c r="BU100" s="337"/>
      <c r="BV100" s="337"/>
      <c r="BW100" s="337"/>
      <c r="BX100" s="337"/>
      <c r="BY100" s="337"/>
      <c r="BZ100" s="337"/>
      <c r="CA100" s="337"/>
      <c r="CB100" s="337"/>
      <c r="CC100" s="337"/>
    </row>
    <row r="101" spans="1:81">
      <c r="A101" s="699" t="s">
        <v>82</v>
      </c>
      <c r="B101" s="16" t="s">
        <v>3</v>
      </c>
      <c r="C101" s="148" t="s">
        <v>16</v>
      </c>
      <c r="D101" s="55"/>
      <c r="E101" s="56"/>
      <c r="F101" s="56"/>
      <c r="G101" s="149"/>
      <c r="H101" s="150"/>
      <c r="I101" s="151"/>
      <c r="J101" s="26"/>
      <c r="K101" s="26"/>
      <c r="L101" s="133"/>
      <c r="M101" s="56"/>
      <c r="N101" s="16"/>
      <c r="O101" s="18"/>
      <c r="P101" s="18"/>
      <c r="Q101" s="244"/>
      <c r="R101" s="28"/>
      <c r="S101" s="152"/>
      <c r="T101" s="55"/>
      <c r="U101" s="56"/>
      <c r="V101" s="56"/>
      <c r="W101" s="213">
        <f>[2]SA!N40</f>
        <v>101484</v>
      </c>
      <c r="X101" s="197"/>
      <c r="Y101" s="197"/>
      <c r="Z101" s="197"/>
      <c r="AA101" s="290"/>
      <c r="AB101" s="26"/>
      <c r="AC101" s="26"/>
      <c r="AD101" s="26"/>
      <c r="AE101" s="26"/>
      <c r="AF101" s="84"/>
      <c r="AG101" s="151"/>
      <c r="AH101" s="26"/>
      <c r="AI101" s="26"/>
      <c r="AJ101" s="133">
        <f>W101</f>
        <v>101484</v>
      </c>
      <c r="AK101" s="27">
        <f>AJ101/[2]Popn!$F$41*1000</f>
        <v>63.118210904348246</v>
      </c>
      <c r="AL101" s="18"/>
      <c r="AM101" s="55"/>
      <c r="AN101" s="56"/>
      <c r="AO101" s="56"/>
      <c r="AP101" s="149"/>
      <c r="AQ101" s="153"/>
      <c r="AR101" s="26"/>
      <c r="AS101" s="26"/>
      <c r="AT101" s="21"/>
      <c r="AU101" s="25"/>
      <c r="AV101" s="21"/>
      <c r="AW101" s="22"/>
      <c r="AX101" s="56"/>
      <c r="AY101" s="23"/>
      <c r="AZ101" s="18"/>
      <c r="BA101" s="19"/>
      <c r="BB101" s="19"/>
      <c r="BC101" s="28"/>
      <c r="BD101" s="571"/>
      <c r="BH101" s="700" t="s">
        <v>86</v>
      </c>
      <c r="BI101" s="701"/>
      <c r="BJ101" s="701"/>
      <c r="BK101" s="701"/>
      <c r="BL101" s="702"/>
      <c r="BM101" s="700" t="s">
        <v>87</v>
      </c>
      <c r="BN101" s="702"/>
      <c r="BP101" s="8"/>
      <c r="BQ101" s="8"/>
      <c r="BR101" s="342"/>
      <c r="BS101" s="342"/>
      <c r="BT101" s="342"/>
      <c r="BU101" s="337"/>
      <c r="BV101" s="337"/>
      <c r="BW101" s="337"/>
      <c r="BX101" s="337"/>
      <c r="BY101" s="337"/>
      <c r="BZ101" s="337"/>
      <c r="CA101" s="337"/>
      <c r="CB101" s="337"/>
      <c r="CC101" s="337"/>
    </row>
    <row r="102" spans="1:81">
      <c r="A102" s="699"/>
      <c r="B102" s="23"/>
      <c r="C102" s="17" t="s">
        <v>17</v>
      </c>
      <c r="D102" s="57"/>
      <c r="E102" s="2"/>
      <c r="F102" s="2"/>
      <c r="G102" s="63"/>
      <c r="H102" s="5"/>
      <c r="I102" s="20"/>
      <c r="J102" s="21"/>
      <c r="K102" s="21"/>
      <c r="L102" s="22"/>
      <c r="M102" s="2"/>
      <c r="N102" s="23"/>
      <c r="O102" s="19"/>
      <c r="P102" s="19"/>
      <c r="Q102" s="19"/>
      <c r="R102" s="24"/>
      <c r="T102" s="57"/>
      <c r="U102" s="2"/>
      <c r="V102" s="2"/>
      <c r="W102" s="199">
        <f>[2]SA!N41</f>
        <v>113993</v>
      </c>
      <c r="X102" s="198"/>
      <c r="Y102" s="198"/>
      <c r="Z102" s="198"/>
      <c r="AA102" s="272"/>
      <c r="AB102" s="21"/>
      <c r="AC102" s="21"/>
      <c r="AD102" s="21"/>
      <c r="AE102" s="21"/>
      <c r="AF102" s="70"/>
      <c r="AG102" s="20"/>
      <c r="AH102" s="21"/>
      <c r="AI102" s="21"/>
      <c r="AJ102" s="22">
        <f t="shared" ref="AJ102:AJ141" si="20">W102</f>
        <v>113993</v>
      </c>
      <c r="AK102" s="29">
        <f>AJ102/[2]Popn!$F$41*1000</f>
        <v>70.898212680022169</v>
      </c>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3"/>
      <c r="BS102" s="343"/>
      <c r="BT102" s="343"/>
      <c r="BU102" s="342"/>
      <c r="BV102" s="337"/>
      <c r="BW102" s="337"/>
      <c r="BX102" s="337"/>
      <c r="BY102" s="337"/>
      <c r="BZ102" s="337"/>
      <c r="CA102" s="337"/>
      <c r="CB102" s="337"/>
      <c r="CC102" s="337"/>
    </row>
    <row r="103" spans="1:81">
      <c r="A103" s="699"/>
      <c r="B103" s="23"/>
      <c r="C103" s="17" t="s">
        <v>18</v>
      </c>
      <c r="D103" s="57"/>
      <c r="E103" s="2"/>
      <c r="F103" s="2"/>
      <c r="G103" s="63"/>
      <c r="H103" s="5"/>
      <c r="I103" s="20"/>
      <c r="J103" s="21"/>
      <c r="K103" s="21"/>
      <c r="L103" s="22"/>
      <c r="M103" s="2"/>
      <c r="N103" s="23"/>
      <c r="O103" s="19"/>
      <c r="P103" s="19"/>
      <c r="Q103" s="19"/>
      <c r="R103" s="24"/>
      <c r="T103" s="57"/>
      <c r="U103" s="2"/>
      <c r="V103" s="2"/>
      <c r="W103" s="199">
        <f>[2]SA!N42</f>
        <v>984735</v>
      </c>
      <c r="X103" s="198"/>
      <c r="Y103" s="198"/>
      <c r="Z103" s="198"/>
      <c r="AA103" s="272"/>
      <c r="AB103" s="21"/>
      <c r="AC103" s="21"/>
      <c r="AD103" s="21"/>
      <c r="AE103" s="21"/>
      <c r="AF103" s="70"/>
      <c r="AG103" s="20"/>
      <c r="AH103" s="21"/>
      <c r="AI103" s="21"/>
      <c r="AJ103" s="22">
        <f t="shared" si="20"/>
        <v>984735</v>
      </c>
      <c r="AK103" s="29">
        <f>AJ103/[2]Popn!$F$41*1000</f>
        <v>612.45823395701154</v>
      </c>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44"/>
      <c r="BS103" s="345"/>
      <c r="BT103" s="345"/>
      <c r="BU103" s="343"/>
      <c r="BV103" s="337"/>
      <c r="BW103" s="337"/>
      <c r="BX103" s="337"/>
      <c r="BY103" s="337"/>
      <c r="BZ103" s="337"/>
      <c r="CA103" s="337"/>
      <c r="CB103" s="337"/>
      <c r="CC103" s="337"/>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
      <c r="W104" s="199">
        <f>[2]SA!N43</f>
        <v>0</v>
      </c>
      <c r="X104" s="198"/>
      <c r="Y104" s="198"/>
      <c r="Z104" s="198"/>
      <c r="AA104" s="274"/>
      <c r="AB104" s="21"/>
      <c r="AC104" s="21"/>
      <c r="AD104" s="21"/>
      <c r="AE104" s="21"/>
      <c r="AF104" s="70"/>
      <c r="AG104" s="20"/>
      <c r="AH104" s="21"/>
      <c r="AI104" s="21"/>
      <c r="AJ104" s="22">
        <f t="shared" si="20"/>
        <v>0</v>
      </c>
      <c r="AK104" s="29">
        <f>AJ104/[2]Popn!$F$41*1000</f>
        <v>0</v>
      </c>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330.69734232207321</v>
      </c>
      <c r="BI104" s="52">
        <f>O144/1000</f>
        <v>176.10030572941369</v>
      </c>
      <c r="BJ104" s="52">
        <f>P144/1000</f>
        <v>442.43271099870532</v>
      </c>
      <c r="BK104" s="53">
        <f>Q144/1000</f>
        <v>949.23035905019219</v>
      </c>
      <c r="BL104" s="54">
        <f>R144/1000</f>
        <v>0.5903760395662393</v>
      </c>
      <c r="BM104" s="51">
        <f>Q145/1000</f>
        <v>949.23035905019219</v>
      </c>
      <c r="BN104" s="54">
        <f>R145/1000</f>
        <v>0.5903760395662393</v>
      </c>
      <c r="BP104" s="30"/>
      <c r="BQ104" s="30"/>
      <c r="BR104" s="344"/>
      <c r="BS104" s="345"/>
      <c r="BT104" s="345"/>
      <c r="BU104" s="346"/>
      <c r="BV104" s="337"/>
      <c r="BW104" s="337"/>
      <c r="BX104" s="337"/>
      <c r="BY104" s="337"/>
      <c r="BZ104" s="337"/>
      <c r="CA104" s="337"/>
      <c r="CB104" s="337"/>
      <c r="CC104" s="337"/>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
      <c r="W105" s="199">
        <f>[2]SA!N44</f>
        <v>0</v>
      </c>
      <c r="X105" s="198"/>
      <c r="Y105" s="198"/>
      <c r="Z105" s="198"/>
      <c r="AA105" s="274"/>
      <c r="AB105" s="21"/>
      <c r="AC105" s="21"/>
      <c r="AD105" s="21"/>
      <c r="AE105" s="21"/>
      <c r="AF105" s="70"/>
      <c r="AG105" s="20"/>
      <c r="AH105" s="21"/>
      <c r="AI105" s="21"/>
      <c r="AJ105" s="22">
        <f t="shared" si="20"/>
        <v>0</v>
      </c>
      <c r="AK105" s="29">
        <f>AJ105/[2]Popn!$F$41*1000</f>
        <v>0</v>
      </c>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398.49517255564393</v>
      </c>
      <c r="BI105" s="52">
        <f>AH144/1000</f>
        <v>565.66424494288708</v>
      </c>
      <c r="BJ105" s="52">
        <f>AI144/1000</f>
        <v>1345.2125825014691</v>
      </c>
      <c r="BK105" s="53">
        <f>AJ144/1000</f>
        <v>2309.3719999999998</v>
      </c>
      <c r="BL105" s="54">
        <f>AK144/1000</f>
        <v>1.4277500516609156</v>
      </c>
      <c r="BM105" s="51">
        <f>AJ145/1000</f>
        <v>2532.3719999999998</v>
      </c>
      <c r="BN105" s="54">
        <f>AK145/1000</f>
        <v>1.5664454226718105</v>
      </c>
      <c r="BR105" s="337"/>
      <c r="BS105" s="337"/>
      <c r="BT105" s="337"/>
      <c r="BU105" s="346"/>
      <c r="BV105" s="337"/>
      <c r="BW105" s="337"/>
      <c r="BX105" s="337"/>
      <c r="BY105" s="337"/>
      <c r="BZ105" s="337"/>
      <c r="CA105" s="337"/>
      <c r="CB105" s="337"/>
      <c r="CC105" s="337"/>
    </row>
    <row r="106" spans="1:81" s="106" customFormat="1">
      <c r="A106" s="699"/>
      <c r="B106" s="107" t="s">
        <v>67</v>
      </c>
      <c r="C106" s="108"/>
      <c r="D106" s="109"/>
      <c r="E106" s="110"/>
      <c r="F106" s="110"/>
      <c r="G106" s="111"/>
      <c r="H106" s="110"/>
      <c r="I106" s="112">
        <f>D144*[2]SA!$J$360</f>
        <v>10462.656877082654</v>
      </c>
      <c r="J106" s="113">
        <f>(E144-G139)*[2]SA!L$225</f>
        <v>10011.808721506446</v>
      </c>
      <c r="K106" s="113">
        <f>F144*[2]SA!M$225</f>
        <v>125947.57853403142</v>
      </c>
      <c r="L106" s="114">
        <f>SUM(I106:K106)</f>
        <v>146422.0441326205</v>
      </c>
      <c r="M106" s="110"/>
      <c r="N106" s="112">
        <f>I106-AU106</f>
        <v>10462.656877082654</v>
      </c>
      <c r="O106" s="113">
        <f>J106-AV106</f>
        <v>10011.808721506446</v>
      </c>
      <c r="P106" s="113">
        <f>K106-AW106</f>
        <v>125947.57853403142</v>
      </c>
      <c r="Q106" s="114">
        <f>SUM(N106:P106)</f>
        <v>146422.0441326205</v>
      </c>
      <c r="R106" s="115">
        <f>Q106/[2]Popn!$F$41*1000</f>
        <v>91.067532444607295</v>
      </c>
      <c r="T106" s="109"/>
      <c r="U106" s="110"/>
      <c r="V106" s="110"/>
      <c r="W106" s="203">
        <f>SUM(W101:W105)</f>
        <v>1200212</v>
      </c>
      <c r="X106" s="130"/>
      <c r="Y106" s="130"/>
      <c r="Z106" s="130"/>
      <c r="AA106" s="276"/>
      <c r="AB106" s="113"/>
      <c r="AC106" s="113"/>
      <c r="AD106" s="113"/>
      <c r="AE106" s="113"/>
      <c r="AF106" s="117"/>
      <c r="AG106" s="112"/>
      <c r="AH106" s="113"/>
      <c r="AI106" s="113"/>
      <c r="AJ106" s="114">
        <f t="shared" si="20"/>
        <v>1200212</v>
      </c>
      <c r="AK106" s="118">
        <f>SUM(AK101:AK105)</f>
        <v>746.47465754138193</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41.182657677926741</v>
      </c>
      <c r="BI106" s="52">
        <f>AZ144/1000</f>
        <v>75.169694270586319</v>
      </c>
      <c r="BJ106" s="52">
        <f>BA144/1000</f>
        <v>22.358183167338108</v>
      </c>
      <c r="BK106" s="53">
        <f>BB144/1000</f>
        <v>138.71053511585114</v>
      </c>
      <c r="BL106" s="54">
        <f>BC144/1000</f>
        <v>8.6271341394675974E-2</v>
      </c>
      <c r="BM106" s="51">
        <f>BB145/1000</f>
        <v>138.71053511585114</v>
      </c>
      <c r="BN106" s="54">
        <f>BC145/1000</f>
        <v>8.6271341394675974E-2</v>
      </c>
      <c r="BO106" s="6"/>
      <c r="BR106" s="340"/>
      <c r="BS106" s="340"/>
      <c r="BT106" s="340"/>
      <c r="BU106" s="337"/>
      <c r="BV106" s="337"/>
      <c r="BW106" s="337"/>
      <c r="BX106" s="337"/>
      <c r="BY106" s="337"/>
      <c r="BZ106" s="337"/>
      <c r="CA106" s="337"/>
      <c r="CB106" s="337"/>
      <c r="CC106" s="340"/>
    </row>
    <row r="107" spans="1:81">
      <c r="A107" s="699"/>
      <c r="B107" s="23" t="s">
        <v>4</v>
      </c>
      <c r="C107" s="17" t="s">
        <v>19</v>
      </c>
      <c r="D107" s="57"/>
      <c r="E107" s="2"/>
      <c r="F107" s="2"/>
      <c r="G107" s="63"/>
      <c r="H107" s="2"/>
      <c r="I107" s="20"/>
      <c r="J107" s="21"/>
      <c r="K107" s="21"/>
      <c r="L107" s="22"/>
      <c r="M107" s="2"/>
      <c r="N107" s="23"/>
      <c r="O107" s="19"/>
      <c r="P107" s="19"/>
      <c r="Q107" s="19"/>
      <c r="R107" s="33"/>
      <c r="T107" s="57"/>
      <c r="U107" s="2"/>
      <c r="V107" s="2"/>
      <c r="W107" s="199">
        <f>[2]SA!N45</f>
        <v>271277</v>
      </c>
      <c r="X107" s="198"/>
      <c r="Y107" s="198"/>
      <c r="Z107" s="198"/>
      <c r="AA107" s="274"/>
      <c r="AB107" s="21"/>
      <c r="AC107" s="21"/>
      <c r="AD107" s="21"/>
      <c r="AE107" s="21"/>
      <c r="AF107" s="70"/>
      <c r="AG107" s="20"/>
      <c r="AH107" s="21"/>
      <c r="AI107" s="21"/>
      <c r="AJ107" s="22">
        <f t="shared" si="20"/>
        <v>271277</v>
      </c>
      <c r="AK107" s="29">
        <f>AJ107/[2]Popn!$F$41*1000</f>
        <v>168.72136395391271</v>
      </c>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21">SUM(BH105:BH106)/BH108</f>
        <v>0.57073208729583369</v>
      </c>
      <c r="BI107" s="86">
        <f t="shared" si="21"/>
        <v>0.78443760092132619</v>
      </c>
      <c r="BJ107" s="86">
        <f t="shared" si="21"/>
        <v>0.75556250764043276</v>
      </c>
      <c r="BK107" s="87">
        <f t="shared" si="21"/>
        <v>0.72059377848880635</v>
      </c>
      <c r="BL107" s="87">
        <f t="shared" si="21"/>
        <v>0.71945601604792864</v>
      </c>
      <c r="BM107" s="88">
        <f t="shared" si="21"/>
        <v>0.73780433161458769</v>
      </c>
      <c r="BN107" s="87">
        <f t="shared" si="21"/>
        <v>0.73680266879278666</v>
      </c>
      <c r="BR107" s="337"/>
      <c r="BS107" s="337"/>
      <c r="BT107" s="337"/>
      <c r="BU107" s="340"/>
      <c r="BV107" s="340"/>
      <c r="BW107" s="340"/>
      <c r="BX107" s="340"/>
      <c r="BY107" s="340"/>
      <c r="BZ107" s="340"/>
      <c r="CA107" s="340"/>
      <c r="CB107" s="340"/>
      <c r="CC107" s="337"/>
    </row>
    <row r="108" spans="1:81">
      <c r="A108" s="699"/>
      <c r="B108" s="23"/>
      <c r="C108" s="17" t="s">
        <v>20</v>
      </c>
      <c r="D108" s="57"/>
      <c r="E108" s="2"/>
      <c r="F108" s="2"/>
      <c r="G108" s="63"/>
      <c r="H108" s="2"/>
      <c r="I108" s="20"/>
      <c r="J108" s="21"/>
      <c r="K108" s="21"/>
      <c r="L108" s="22"/>
      <c r="M108" s="2"/>
      <c r="N108" s="23"/>
      <c r="O108" s="19"/>
      <c r="P108" s="19"/>
      <c r="Q108" s="19"/>
      <c r="R108" s="33"/>
      <c r="T108" s="57"/>
      <c r="U108" s="2"/>
      <c r="V108" s="2"/>
      <c r="W108" s="199">
        <f>[2]SA!N46</f>
        <v>21895</v>
      </c>
      <c r="X108" s="198"/>
      <c r="Y108" s="198"/>
      <c r="Z108" s="198"/>
      <c r="AA108" s="274"/>
      <c r="AB108" s="21"/>
      <c r="AC108" s="21"/>
      <c r="AD108" s="21"/>
      <c r="AE108" s="21"/>
      <c r="AF108" s="70"/>
      <c r="AG108" s="20"/>
      <c r="AH108" s="21"/>
      <c r="AI108" s="21"/>
      <c r="AJ108" s="22">
        <f t="shared" si="20"/>
        <v>21895</v>
      </c>
      <c r="AK108" s="29">
        <f>AJ108/[2]Popn!$F$41*1000</f>
        <v>13.61764640485894</v>
      </c>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22">SUM(BH104:BH106)</f>
        <v>770.37517255564387</v>
      </c>
      <c r="BI108" s="52">
        <f t="shared" si="22"/>
        <v>816.93424494288706</v>
      </c>
      <c r="BJ108" s="52">
        <f t="shared" si="22"/>
        <v>1810.0034766675126</v>
      </c>
      <c r="BK108" s="74">
        <f t="shared" si="22"/>
        <v>3397.312894166043</v>
      </c>
      <c r="BL108" s="76">
        <f t="shared" si="22"/>
        <v>2.1043974326218309</v>
      </c>
      <c r="BM108" s="81">
        <f t="shared" si="22"/>
        <v>3620.312894166043</v>
      </c>
      <c r="BN108" s="76">
        <f t="shared" si="22"/>
        <v>2.243092803632726</v>
      </c>
      <c r="BR108" s="337"/>
      <c r="BS108" s="337"/>
      <c r="BT108" s="337"/>
      <c r="BU108" s="337"/>
      <c r="BV108" s="337"/>
      <c r="BW108" s="337"/>
      <c r="BX108" s="337"/>
      <c r="BY108" s="337"/>
      <c r="BZ108" s="337"/>
      <c r="CA108" s="337"/>
      <c r="CB108" s="337"/>
      <c r="CC108" s="337"/>
    </row>
    <row r="109" spans="1:81">
      <c r="A109" s="699"/>
      <c r="B109" s="23"/>
      <c r="C109" s="17" t="s">
        <v>21</v>
      </c>
      <c r="D109" s="57"/>
      <c r="E109" s="2"/>
      <c r="F109" s="2"/>
      <c r="G109" s="63"/>
      <c r="H109" s="2"/>
      <c r="I109" s="20"/>
      <c r="J109" s="21"/>
      <c r="K109" s="21"/>
      <c r="L109" s="22"/>
      <c r="M109" s="2"/>
      <c r="N109" s="23"/>
      <c r="O109" s="19"/>
      <c r="P109" s="19"/>
      <c r="Q109" s="19"/>
      <c r="R109" s="33"/>
      <c r="T109" s="57"/>
      <c r="U109" s="2"/>
      <c r="V109" s="2"/>
      <c r="W109" s="199">
        <f>[2]SA!N47</f>
        <v>18495</v>
      </c>
      <c r="X109" s="198"/>
      <c r="Y109" s="198"/>
      <c r="Z109" s="198"/>
      <c r="AA109" s="274"/>
      <c r="AB109" s="21"/>
      <c r="AC109" s="21"/>
      <c r="AD109" s="21"/>
      <c r="AE109" s="21"/>
      <c r="AF109" s="70"/>
      <c r="AG109" s="20"/>
      <c r="AH109" s="21"/>
      <c r="AI109" s="21"/>
      <c r="AJ109" s="22">
        <f t="shared" si="20"/>
        <v>18495</v>
      </c>
      <c r="AK109" s="29">
        <f>AJ109/[2]Popn!$F$41*1000</f>
        <v>11.503008461195073</v>
      </c>
      <c r="AL109" s="19"/>
      <c r="AM109" s="57"/>
      <c r="AN109" s="2"/>
      <c r="AO109" s="2"/>
      <c r="AP109" s="63"/>
      <c r="AQ109" s="68"/>
      <c r="AR109" s="21"/>
      <c r="AS109" s="21"/>
      <c r="AT109" s="21"/>
      <c r="AU109" s="25"/>
      <c r="AV109" s="21"/>
      <c r="AW109" s="22"/>
      <c r="AX109" s="2"/>
      <c r="AY109" s="23"/>
      <c r="AZ109" s="19"/>
      <c r="BA109" s="19"/>
      <c r="BB109" s="19"/>
      <c r="BC109" s="24"/>
      <c r="BD109" s="30"/>
      <c r="BR109" s="337"/>
      <c r="BS109" s="337"/>
      <c r="BT109" s="337"/>
      <c r="BU109" s="337"/>
      <c r="BV109" s="337"/>
      <c r="BW109" s="337"/>
      <c r="BX109" s="337"/>
      <c r="BY109" s="337"/>
      <c r="BZ109" s="337"/>
      <c r="CA109" s="337"/>
      <c r="CB109" s="337"/>
      <c r="CC109" s="337"/>
    </row>
    <row r="110" spans="1:81" s="106" customFormat="1">
      <c r="A110" s="699"/>
      <c r="B110" s="107" t="s">
        <v>67</v>
      </c>
      <c r="C110" s="108"/>
      <c r="D110" s="109"/>
      <c r="E110" s="110"/>
      <c r="F110" s="110"/>
      <c r="G110" s="111"/>
      <c r="H110" s="110"/>
      <c r="I110" s="112">
        <f>D144*[2]SA!$J$361</f>
        <v>17110.180292453442</v>
      </c>
      <c r="J110" s="113">
        <f>(E144-G139)*[2]SA!L$226</f>
        <v>3718.3775189957064</v>
      </c>
      <c r="K110" s="113">
        <f>F144*[2]SA!M$226</f>
        <v>9444.764584891549</v>
      </c>
      <c r="L110" s="114">
        <f>SUM(I110:K110)</f>
        <v>30273.322396340696</v>
      </c>
      <c r="M110" s="110"/>
      <c r="N110" s="112">
        <f>I110-AU110</f>
        <v>17110.180292453442</v>
      </c>
      <c r="O110" s="113">
        <f>J110-AV110</f>
        <v>3718.3775189957064</v>
      </c>
      <c r="P110" s="113">
        <f>K110-AW110</f>
        <v>9444.764584891549</v>
      </c>
      <c r="Q110" s="114">
        <f>SUM(N110:P110)</f>
        <v>30273.322396340696</v>
      </c>
      <c r="R110" s="115">
        <f>Q110/[2]Popn!$F$41*1000</f>
        <v>18.828563594138597</v>
      </c>
      <c r="T110" s="109"/>
      <c r="U110" s="110"/>
      <c r="V110" s="110"/>
      <c r="W110" s="203">
        <f>SUM(W107:W109)</f>
        <v>311667</v>
      </c>
      <c r="X110" s="130"/>
      <c r="Y110" s="130"/>
      <c r="Z110" s="130"/>
      <c r="AA110" s="276"/>
      <c r="AB110" s="113"/>
      <c r="AC110" s="113"/>
      <c r="AD110" s="113"/>
      <c r="AE110" s="113"/>
      <c r="AF110" s="117"/>
      <c r="AG110" s="112"/>
      <c r="AH110" s="113"/>
      <c r="AI110" s="113"/>
      <c r="AJ110" s="114">
        <f t="shared" si="20"/>
        <v>311667</v>
      </c>
      <c r="AK110" s="118">
        <f>SUM(AK107:AK109)</f>
        <v>193.84201881996671</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row>
    <row r="111" spans="1:81">
      <c r="A111" s="699"/>
      <c r="B111" s="23" t="s">
        <v>2</v>
      </c>
      <c r="C111" s="17" t="s">
        <v>22</v>
      </c>
      <c r="D111" s="57"/>
      <c r="E111" s="2"/>
      <c r="F111" s="2"/>
      <c r="G111" s="63"/>
      <c r="H111" s="2"/>
      <c r="I111" s="20">
        <f>D144*[2]SA!$J$362</f>
        <v>167373.65310636244</v>
      </c>
      <c r="J111" s="21"/>
      <c r="K111" s="21"/>
      <c r="L111" s="22"/>
      <c r="M111" s="2"/>
      <c r="N111" s="20"/>
      <c r="O111" s="21"/>
      <c r="P111" s="21"/>
      <c r="Q111" s="21"/>
      <c r="R111" s="34"/>
      <c r="T111" s="57"/>
      <c r="U111" s="2"/>
      <c r="V111" s="2"/>
      <c r="W111" s="199">
        <f>[2]SA!N48</f>
        <v>4820</v>
      </c>
      <c r="X111" s="198"/>
      <c r="Y111" s="198"/>
      <c r="Z111" s="198"/>
      <c r="AA111" s="274"/>
      <c r="AB111" s="21"/>
      <c r="AC111" s="21"/>
      <c r="AD111" s="21"/>
      <c r="AE111" s="21"/>
      <c r="AF111" s="70"/>
      <c r="AG111" s="20"/>
      <c r="AH111" s="21"/>
      <c r="AI111" s="21"/>
      <c r="AJ111" s="22">
        <f t="shared" si="20"/>
        <v>4820</v>
      </c>
      <c r="AK111" s="29">
        <f>AJ111/[2]Popn!$F$41*1000</f>
        <v>2.9978102613117192</v>
      </c>
      <c r="AL111" s="19"/>
      <c r="AM111" s="57"/>
      <c r="AN111" s="2"/>
      <c r="AO111" s="2"/>
      <c r="AP111" s="63"/>
      <c r="AQ111" s="70"/>
      <c r="AR111" s="21">
        <f>L116*'[2]Lfill en &amp; composn'!$F$82/SUM('[2]Lfill en &amp; composn'!$F$82,'[2]Lfill en &amp; composn'!$F$84:$F$85,'[2]Lfill en &amp; composn'!$F$87:$F$88)*'[2]Lfill en &amp; composn'!$D$16</f>
        <v>31644.382497756578</v>
      </c>
      <c r="AS111" s="35">
        <f>AR111/SUM($AR$101:$AR$143)</f>
        <v>0.41211526490069184</v>
      </c>
      <c r="AT111" s="21">
        <f>AS111*'[2]Lfill en &amp; composn'!$F$62/'[2]Lfill en &amp; composn'!$B$16</f>
        <v>49009.138630239489</v>
      </c>
      <c r="AU111" s="25"/>
      <c r="AV111" s="21"/>
      <c r="AW111" s="22"/>
      <c r="AX111" s="82"/>
      <c r="AY111" s="20"/>
      <c r="AZ111" s="21"/>
      <c r="BA111" s="21"/>
      <c r="BB111" s="21"/>
      <c r="BC111" s="29"/>
      <c r="BD111" s="30"/>
      <c r="BS111" s="106"/>
      <c r="BT111" s="106"/>
      <c r="BU111" s="106"/>
      <c r="BV111" s="106"/>
      <c r="BW111" s="106"/>
      <c r="BX111" s="106"/>
      <c r="BY111" s="106"/>
      <c r="BZ111" s="106"/>
      <c r="CA111" s="106"/>
      <c r="CB111" s="106"/>
      <c r="CC111" s="106"/>
    </row>
    <row r="112" spans="1:81">
      <c r="A112" s="699"/>
      <c r="B112" s="23"/>
      <c r="C112" s="17" t="s">
        <v>23</v>
      </c>
      <c r="D112" s="57"/>
      <c r="E112" s="2"/>
      <c r="F112" s="2"/>
      <c r="G112" s="63"/>
      <c r="H112" s="2"/>
      <c r="I112" s="20">
        <f>D144*[2]SA!$J$363</f>
        <v>31018.871413369146</v>
      </c>
      <c r="J112" s="21"/>
      <c r="K112" s="21"/>
      <c r="L112" s="22"/>
      <c r="M112" s="2"/>
      <c r="N112" s="20"/>
      <c r="O112" s="21"/>
      <c r="P112" s="21"/>
      <c r="Q112" s="21"/>
      <c r="R112" s="34"/>
      <c r="T112" s="57"/>
      <c r="U112" s="2"/>
      <c r="V112" s="2"/>
      <c r="W112" s="199">
        <f>[2]SA!N49</f>
        <v>203558</v>
      </c>
      <c r="X112" s="198"/>
      <c r="Y112" s="198"/>
      <c r="Z112" s="198"/>
      <c r="AA112" s="274"/>
      <c r="AB112" s="21"/>
      <c r="AC112" s="21"/>
      <c r="AD112" s="21"/>
      <c r="AE112" s="21"/>
      <c r="AF112" s="70"/>
      <c r="AG112" s="20"/>
      <c r="AH112" s="21"/>
      <c r="AI112" s="21"/>
      <c r="AJ112" s="22">
        <f t="shared" si="20"/>
        <v>203558</v>
      </c>
      <c r="AK112" s="29">
        <f>AJ112/[2]Popn!$F$41*1000</f>
        <v>126.60337368715579</v>
      </c>
      <c r="AL112" s="19"/>
      <c r="AM112" s="57"/>
      <c r="AN112" s="2"/>
      <c r="AO112" s="2"/>
      <c r="AP112" s="63"/>
      <c r="AQ112" s="68"/>
      <c r="AR112" s="21">
        <f>L116*'[2]Lfill en &amp; composn'!$F$84/SUM('[2]Lfill en &amp; composn'!$F$82,'[2]Lfill en &amp; composn'!$F$84:$F$85,'[2]Lfill en &amp; composn'!$F$87:$F$88)*'[2]Lfill en &amp; composn'!$D$18</f>
        <v>10753.288932839259</v>
      </c>
      <c r="AS112" s="35">
        <f>AR112/SUM($AR$101:$AR$143)</f>
        <v>0.14004364020770216</v>
      </c>
      <c r="AT112" s="21">
        <f>AS112*'[2]Lfill en &amp; composn'!$F$62/'[2]Lfill en &amp; composn'!$B$18</f>
        <v>12490.592005024151</v>
      </c>
      <c r="AU112" s="25"/>
      <c r="AV112" s="21"/>
      <c r="AW112" s="22"/>
      <c r="AX112" s="2"/>
      <c r="AY112" s="20"/>
      <c r="AZ112" s="21"/>
      <c r="BA112" s="21"/>
      <c r="BB112" s="21"/>
      <c r="BC112" s="29"/>
      <c r="BD112" s="36"/>
    </row>
    <row r="113" spans="1:80">
      <c r="A113" s="699"/>
      <c r="B113" s="23"/>
      <c r="C113" s="17" t="s">
        <v>24</v>
      </c>
      <c r="D113" s="57"/>
      <c r="E113" s="2"/>
      <c r="F113" s="2"/>
      <c r="G113" s="63"/>
      <c r="H113" s="2"/>
      <c r="I113" s="20">
        <f>D144*[2]SA!$J$364</f>
        <v>10287.081598590905</v>
      </c>
      <c r="J113" s="21"/>
      <c r="K113" s="21"/>
      <c r="L113" s="22"/>
      <c r="M113" s="2"/>
      <c r="N113" s="20"/>
      <c r="O113" s="21"/>
      <c r="P113" s="21"/>
      <c r="Q113" s="21"/>
      <c r="R113" s="34"/>
      <c r="T113" s="57"/>
      <c r="U113" s="2"/>
      <c r="V113" s="2"/>
      <c r="W113" s="199">
        <f>[2]SA!N50</f>
        <v>254866</v>
      </c>
      <c r="X113" s="198"/>
      <c r="Y113" s="198"/>
      <c r="Z113" s="198"/>
      <c r="AA113" s="274"/>
      <c r="AB113" s="21"/>
      <c r="AC113" s="21"/>
      <c r="AD113" s="21"/>
      <c r="AE113" s="21"/>
      <c r="AF113" s="70"/>
      <c r="AG113" s="20"/>
      <c r="AH113" s="21"/>
      <c r="AI113" s="21"/>
      <c r="AJ113" s="22">
        <f t="shared" si="20"/>
        <v>254866</v>
      </c>
      <c r="AK113" s="29">
        <f>AJ113/[2]Popn!$F$41*1000</f>
        <v>158.5145041617163</v>
      </c>
      <c r="AL113" s="19"/>
      <c r="AM113" s="57"/>
      <c r="AN113" s="198">
        <f>[2]SA!$M$161*[2]SA!$M$155</f>
        <v>33000</v>
      </c>
      <c r="AO113" s="2"/>
      <c r="AP113" s="63"/>
      <c r="AQ113" s="70"/>
      <c r="AR113" s="21">
        <f>L116*'[2]Lfill en &amp; composn'!$F$85/SUM('[2]Lfill en &amp; composn'!$F$82,'[2]Lfill en &amp; composn'!$F$84:$F$85,'[2]Lfill en &amp; composn'!$F$87:$F$88)*'[2]Lfill en &amp; composn'!$D$19</f>
        <v>8090.8790553095696</v>
      </c>
      <c r="AS113" s="35">
        <f>AR113/SUM($AR$101:$AR$143)</f>
        <v>0.10537019533861192</v>
      </c>
      <c r="AT113" s="21">
        <f>AS113*'[2]Lfill en &amp; composn'!$F$62/'[2]Lfill en &amp; composn'!$B$19</f>
        <v>4371.1826808175911</v>
      </c>
      <c r="AU113" s="25"/>
      <c r="AV113" s="21"/>
      <c r="AW113" s="22"/>
      <c r="AX113" s="2"/>
      <c r="AY113" s="20"/>
      <c r="AZ113" s="21">
        <f>AN113</f>
        <v>33000</v>
      </c>
      <c r="BA113" s="21"/>
      <c r="BB113" s="21"/>
      <c r="BC113" s="29"/>
    </row>
    <row r="114" spans="1:80">
      <c r="A114" s="699"/>
      <c r="B114" s="23"/>
      <c r="C114" s="17" t="s">
        <v>25</v>
      </c>
      <c r="D114" s="57"/>
      <c r="E114" s="2"/>
      <c r="F114" s="2"/>
      <c r="G114" s="63"/>
      <c r="H114" s="2"/>
      <c r="I114" s="20">
        <f>D144*[2]SA!$J$365</f>
        <v>21861.729725863755</v>
      </c>
      <c r="J114" s="21"/>
      <c r="K114" s="21"/>
      <c r="L114" s="22"/>
      <c r="M114" s="2"/>
      <c r="N114" s="20"/>
      <c r="O114" s="21"/>
      <c r="P114" s="21"/>
      <c r="Q114" s="21"/>
      <c r="R114" s="34"/>
      <c r="T114" s="57"/>
      <c r="U114" s="2"/>
      <c r="V114" s="2"/>
      <c r="W114" s="199">
        <f>[2]SA!T51</f>
        <v>40295</v>
      </c>
      <c r="X114" s="198"/>
      <c r="Y114" s="198"/>
      <c r="Z114" s="198"/>
      <c r="AA114" s="274"/>
      <c r="AB114" s="21"/>
      <c r="AC114" s="21"/>
      <c r="AD114" s="21"/>
      <c r="AE114" s="21"/>
      <c r="AF114" s="70"/>
      <c r="AG114" s="20"/>
      <c r="AH114" s="21"/>
      <c r="AI114" s="21"/>
      <c r="AJ114" s="22">
        <f t="shared" si="20"/>
        <v>40295</v>
      </c>
      <c r="AK114" s="29">
        <f>AJ114/[2]Popn!$F$41*1000</f>
        <v>25.061569394098697</v>
      </c>
      <c r="AL114" s="19"/>
      <c r="AM114" s="57"/>
      <c r="AN114" s="198"/>
      <c r="AO114" s="2"/>
      <c r="AP114" s="63"/>
      <c r="AQ114" s="68"/>
      <c r="AR114" s="21">
        <f>L116*'[2]Lfill en &amp; composn'!$F$93/SUM('[2]Lfill en &amp; composn'!$F$82,'[2]Lfill en &amp; composn'!$F$84:$F$85,'[2]Lfill en &amp; composn'!$F$87:$F$88)*'[2]Lfill en &amp; composn'!$D$24</f>
        <v>2601.019495513191</v>
      </c>
      <c r="AS114" s="35">
        <f>AR114/SUM($AR$101:$AR$143)</f>
        <v>3.3873937609029854E-2</v>
      </c>
      <c r="AT114" s="21">
        <f>AS114*'[2]Lfill en &amp; composn'!$F$62/'[2]Lfill en &amp; composn'!$B$24</f>
        <v>2517.7005161302877</v>
      </c>
      <c r="AU114" s="25"/>
      <c r="AV114" s="21"/>
      <c r="AW114" s="22"/>
      <c r="AX114" s="83"/>
      <c r="AY114" s="20"/>
      <c r="AZ114" s="21"/>
      <c r="BA114" s="21"/>
      <c r="BB114" s="21"/>
      <c r="BC114" s="29"/>
    </row>
    <row r="115" spans="1:80">
      <c r="A115" s="699"/>
      <c r="B115" s="23"/>
      <c r="C115" s="17" t="s">
        <v>0</v>
      </c>
      <c r="D115" s="57"/>
      <c r="E115" s="2"/>
      <c r="F115" s="2"/>
      <c r="G115" s="63"/>
      <c r="H115" s="198">
        <f>[2]Biosolids!$F$198</f>
        <v>0</v>
      </c>
      <c r="I115" s="20">
        <f>D144*[2]SA!$J$366</f>
        <v>0</v>
      </c>
      <c r="J115" s="21"/>
      <c r="K115" s="21"/>
      <c r="L115" s="22"/>
      <c r="M115" s="2"/>
      <c r="N115" s="23"/>
      <c r="O115" s="19"/>
      <c r="P115" s="19"/>
      <c r="Q115" s="19"/>
      <c r="R115" s="34"/>
      <c r="T115" s="57"/>
      <c r="U115" s="2"/>
      <c r="V115" s="2"/>
      <c r="W115" s="199"/>
      <c r="X115" s="198"/>
      <c r="Y115" s="198"/>
      <c r="Z115" s="198"/>
      <c r="AA115" s="278">
        <f>[2]Biosolids!$F$197</f>
        <v>1371</v>
      </c>
      <c r="AB115" s="21"/>
      <c r="AC115" s="21"/>
      <c r="AD115" s="21"/>
      <c r="AE115" s="21"/>
      <c r="AF115" s="70"/>
      <c r="AG115" s="20"/>
      <c r="AH115" s="21"/>
      <c r="AI115" s="21"/>
      <c r="AJ115" s="22">
        <f>AA115</f>
        <v>1371</v>
      </c>
      <c r="AK115" s="29">
        <f>AJ115/[2]Popn!$F$41*1000</f>
        <v>0.85269665316563625</v>
      </c>
      <c r="AL115" s="19"/>
      <c r="AM115" s="57"/>
      <c r="AN115" s="198"/>
      <c r="AO115" s="2"/>
      <c r="AP115" s="63"/>
      <c r="AQ115" s="68"/>
      <c r="AR115" s="21">
        <f>L116*'[2]Lfill en &amp; composn'!$F$87/SUM('[2]Lfill en &amp; composn'!$F$82,'[2]Lfill en &amp; composn'!$F$84:$F$85,'[2]Lfill en &amp; composn'!$F$87:$F$88)*'[2]Lfill en &amp; composn'!$D$21</f>
        <v>107.24689760145537</v>
      </c>
      <c r="AS115" s="35">
        <f>AR115/SUM($AR$101:$AR$143)</f>
        <v>1.3967118371778803E-3</v>
      </c>
      <c r="AT115" s="21">
        <f>AS115*'[2]Lfill en &amp; composn'!$F$62/'[2]Lfill en &amp; composn'!$B$21</f>
        <v>498.29489381745276</v>
      </c>
      <c r="AU115" s="25"/>
      <c r="AV115" s="21"/>
      <c r="AW115" s="22"/>
      <c r="AX115" s="2"/>
      <c r="AY115" s="23"/>
      <c r="AZ115" s="19"/>
      <c r="BA115" s="19"/>
      <c r="BB115" s="21"/>
      <c r="BC115" s="24"/>
    </row>
    <row r="116" spans="1:80" s="106" customFormat="1" ht="25.5">
      <c r="A116" s="699"/>
      <c r="B116" s="107" t="s">
        <v>67</v>
      </c>
      <c r="C116" s="108"/>
      <c r="D116" s="109"/>
      <c r="E116" s="110"/>
      <c r="F116" s="110"/>
      <c r="G116" s="111"/>
      <c r="H116" s="110"/>
      <c r="I116" s="112">
        <f>SUM(I111:I115)</f>
        <v>230541.33584418625</v>
      </c>
      <c r="J116" s="113">
        <f>(E144-G139)*[2]SA!L$227</f>
        <v>100138.68764453255</v>
      </c>
      <c r="K116" s="113">
        <f>F144*[2]SA!M$227</f>
        <v>142636.284592371</v>
      </c>
      <c r="L116" s="114">
        <f>SUM(I116:K116)</f>
        <v>473316.30808108975</v>
      </c>
      <c r="M116" s="110"/>
      <c r="N116" s="112">
        <f>I116-AU116</f>
        <v>196988.12905893763</v>
      </c>
      <c r="O116" s="113">
        <f>J116-AV116</f>
        <v>85564.407151895444</v>
      </c>
      <c r="P116" s="113">
        <f>K116-AW116</f>
        <v>121876.86314422774</v>
      </c>
      <c r="Q116" s="114">
        <f>SUM(N116:P116)</f>
        <v>404429.39935506077</v>
      </c>
      <c r="R116" s="115">
        <f>Q116/[2]Popn!$F$41*1000</f>
        <v>251.53580982629387</v>
      </c>
      <c r="T116" s="109"/>
      <c r="U116" s="110"/>
      <c r="V116" s="110"/>
      <c r="W116" s="203">
        <f>SUM(W111:W115)</f>
        <v>503539</v>
      </c>
      <c r="X116" s="130"/>
      <c r="Y116" s="130"/>
      <c r="Z116" s="130"/>
      <c r="AA116" s="276"/>
      <c r="AB116" s="113"/>
      <c r="AC116" s="113"/>
      <c r="AD116" s="113"/>
      <c r="AE116" s="113"/>
      <c r="AF116" s="117"/>
      <c r="AG116" s="112"/>
      <c r="AH116" s="113"/>
      <c r="AI116" s="113"/>
      <c r="AJ116" s="114">
        <f>SUM(AJ111:AJ115)</f>
        <v>504910</v>
      </c>
      <c r="AK116" s="118">
        <f>SUM(AK111:AK115)</f>
        <v>314.02995415744812</v>
      </c>
      <c r="AL116" s="119"/>
      <c r="AM116" s="109"/>
      <c r="AN116" s="130"/>
      <c r="AO116" s="110"/>
      <c r="AP116" s="111"/>
      <c r="AQ116" s="116"/>
      <c r="AR116" s="113"/>
      <c r="AS116" s="113"/>
      <c r="AT116" s="113">
        <f>SUM(AT111:AT115)</f>
        <v>68886.908726028982</v>
      </c>
      <c r="AU116" s="120">
        <f>$AT116*I116/SUM($I116:$K116)</f>
        <v>33553.206785248629</v>
      </c>
      <c r="AV116" s="113">
        <f>$AT116*J116/SUM($I116:$K116)</f>
        <v>14574.280492637103</v>
      </c>
      <c r="AW116" s="113">
        <f>$AT116*K116/SUM($I116:$K116)</f>
        <v>20759.421448143254</v>
      </c>
      <c r="AX116" s="116"/>
      <c r="AY116" s="241">
        <f>AU116</f>
        <v>33553.206785248629</v>
      </c>
      <c r="AZ116" s="242">
        <f>AV116+AZ113</f>
        <v>47574.280492637103</v>
      </c>
      <c r="BA116" s="242">
        <f>AW116</f>
        <v>20759.421448143254</v>
      </c>
      <c r="BB116" s="243">
        <f>SUM(AY116:BA116)</f>
        <v>101886.90872602898</v>
      </c>
      <c r="BC116" s="118">
        <f>BB116/[2]Popn!$F$41*1000</f>
        <v>63.368800927846522</v>
      </c>
      <c r="BD116" s="122"/>
      <c r="BG116" s="146"/>
      <c r="BH116" s="138" t="s">
        <v>72</v>
      </c>
      <c r="BI116" s="138" t="s">
        <v>68</v>
      </c>
      <c r="BJ116" s="138" t="s">
        <v>69</v>
      </c>
      <c r="BK116" s="138" t="s">
        <v>73</v>
      </c>
      <c r="BL116" s="138" t="s">
        <v>78</v>
      </c>
      <c r="BM116" s="6"/>
      <c r="BN116" s="6"/>
      <c r="BO116" s="6"/>
      <c r="BU116" s="6"/>
      <c r="BV116" s="6"/>
      <c r="BW116" s="6"/>
      <c r="BX116" s="6"/>
      <c r="BY116" s="6"/>
      <c r="BZ116" s="6"/>
      <c r="CA116" s="6"/>
      <c r="CB116" s="6"/>
    </row>
    <row r="117" spans="1:80">
      <c r="A117" s="699"/>
      <c r="B117" s="23" t="s">
        <v>5</v>
      </c>
      <c r="C117" s="17" t="s">
        <v>26</v>
      </c>
      <c r="D117" s="57"/>
      <c r="E117" s="2"/>
      <c r="F117" s="2"/>
      <c r="G117" s="63"/>
      <c r="H117" s="2"/>
      <c r="I117" s="20"/>
      <c r="J117" s="21"/>
      <c r="K117" s="21"/>
      <c r="L117" s="22"/>
      <c r="M117" s="2"/>
      <c r="N117" s="23"/>
      <c r="O117" s="19"/>
      <c r="P117" s="19"/>
      <c r="Q117" s="19"/>
      <c r="R117" s="33"/>
      <c r="T117" s="57"/>
      <c r="U117" s="2"/>
      <c r="V117" s="2"/>
      <c r="W117" s="199">
        <f>[2]SA!N52</f>
        <v>104128</v>
      </c>
      <c r="X117" s="198"/>
      <c r="Y117" s="198"/>
      <c r="Z117" s="198"/>
      <c r="AA117" s="274"/>
      <c r="AB117" s="21"/>
      <c r="AC117" s="21"/>
      <c r="AD117" s="21"/>
      <c r="AE117" s="21"/>
      <c r="AF117" s="70"/>
      <c r="AG117" s="20"/>
      <c r="AH117" s="21"/>
      <c r="AI117" s="21"/>
      <c r="AJ117" s="22">
        <f t="shared" si="20"/>
        <v>104128</v>
      </c>
      <c r="AK117" s="29">
        <f>AJ117/[2]Popn!$F$41*1000</f>
        <v>64.762652881715084</v>
      </c>
      <c r="AL117" s="19"/>
      <c r="AM117" s="57"/>
      <c r="AN117" s="198"/>
      <c r="AO117" s="2"/>
      <c r="AP117" s="63"/>
      <c r="AQ117" s="68"/>
      <c r="AR117" s="21"/>
      <c r="AS117" s="21"/>
      <c r="AT117" s="21"/>
      <c r="AU117" s="240"/>
      <c r="AV117" s="19"/>
      <c r="AW117" s="19"/>
      <c r="AX117" s="68"/>
      <c r="AY117" s="238"/>
      <c r="BB117" s="243"/>
      <c r="BC117" s="24"/>
      <c r="BG117" s="147" t="s">
        <v>3</v>
      </c>
      <c r="BH117" s="52">
        <f>Q106/1000</f>
        <v>146.4220441326205</v>
      </c>
      <c r="BI117" s="52">
        <f>AJ106/1000</f>
        <v>1200.212</v>
      </c>
      <c r="BJ117" s="52">
        <f>BB106/1000</f>
        <v>0</v>
      </c>
      <c r="BK117" s="137">
        <f>SUM(BI117:BJ117)/BL117</f>
        <v>0.89126812531541755</v>
      </c>
      <c r="BL117" s="52">
        <f>SUM(BH117:BJ117)</f>
        <v>1346.6340441326206</v>
      </c>
      <c r="BU117" s="106"/>
      <c r="BV117" s="106"/>
      <c r="BW117" s="106"/>
      <c r="BX117" s="106"/>
      <c r="BY117" s="106"/>
      <c r="BZ117" s="106"/>
      <c r="CA117" s="106"/>
      <c r="CB117" s="106"/>
    </row>
    <row r="118" spans="1:80">
      <c r="A118" s="699"/>
      <c r="B118" s="23"/>
      <c r="C118" s="17" t="s">
        <v>27</v>
      </c>
      <c r="D118" s="57"/>
      <c r="E118" s="2"/>
      <c r="F118" s="2"/>
      <c r="G118" s="63"/>
      <c r="H118" s="2"/>
      <c r="I118" s="20"/>
      <c r="J118" s="21"/>
      <c r="K118" s="21"/>
      <c r="L118" s="22"/>
      <c r="M118" s="2"/>
      <c r="N118" s="23"/>
      <c r="O118" s="19"/>
      <c r="P118" s="19"/>
      <c r="Q118" s="19"/>
      <c r="R118" s="33"/>
      <c r="T118" s="57"/>
      <c r="U118" s="2"/>
      <c r="V118" s="2"/>
      <c r="W118" s="199">
        <f>[2]SA!N53</f>
        <v>1475</v>
      </c>
      <c r="X118" s="198"/>
      <c r="Y118" s="198"/>
      <c r="Z118" s="198"/>
      <c r="AA118" s="274"/>
      <c r="AB118" s="21"/>
      <c r="AC118" s="21"/>
      <c r="AD118" s="21"/>
      <c r="AE118" s="21"/>
      <c r="AF118" s="70"/>
      <c r="AG118" s="20"/>
      <c r="AH118" s="21"/>
      <c r="AI118" s="21"/>
      <c r="AJ118" s="22">
        <f t="shared" si="20"/>
        <v>1475</v>
      </c>
      <c r="AK118" s="29">
        <f>AJ118/[2]Popn!$F$41*1000</f>
        <v>0.91737969614829584</v>
      </c>
      <c r="AL118" s="19"/>
      <c r="AM118" s="57"/>
      <c r="AN118" s="198"/>
      <c r="AO118" s="2"/>
      <c r="AP118" s="63"/>
      <c r="AQ118" s="68"/>
      <c r="AR118" s="21"/>
      <c r="AS118" s="21"/>
      <c r="AT118" s="21"/>
      <c r="AU118" s="240"/>
      <c r="AV118" s="19"/>
      <c r="AW118" s="19"/>
      <c r="AX118" s="68"/>
      <c r="AY118" s="238"/>
      <c r="BB118" s="243"/>
      <c r="BC118" s="24"/>
      <c r="BG118" s="147" t="s">
        <v>4</v>
      </c>
      <c r="BH118" s="52">
        <f>Q110/1000</f>
        <v>30.273322396340696</v>
      </c>
      <c r="BI118" s="52">
        <f>AJ110/1000</f>
        <v>311.66699999999997</v>
      </c>
      <c r="BJ118" s="52">
        <f>BB110/1000</f>
        <v>0</v>
      </c>
      <c r="BK118" s="137">
        <f t="shared" ref="BK118:BK125" si="23">SUM(BI118:BJ118)/BL118</f>
        <v>0.91146606465074598</v>
      </c>
      <c r="BL118" s="52">
        <f t="shared" ref="BL118:BL125" si="24">SUM(BH118:BJ118)</f>
        <v>341.94032239634066</v>
      </c>
    </row>
    <row r="119" spans="1:80">
      <c r="A119" s="699"/>
      <c r="B119" s="23"/>
      <c r="C119" s="17" t="s">
        <v>28</v>
      </c>
      <c r="D119" s="57"/>
      <c r="E119" s="2"/>
      <c r="F119" s="2"/>
      <c r="G119" s="63"/>
      <c r="H119" s="2"/>
      <c r="I119" s="20"/>
      <c r="J119" s="21"/>
      <c r="K119" s="21"/>
      <c r="L119" s="22"/>
      <c r="M119" s="2"/>
      <c r="N119" s="23"/>
      <c r="O119" s="19"/>
      <c r="P119" s="19"/>
      <c r="Q119" s="19"/>
      <c r="R119" s="33"/>
      <c r="T119" s="57"/>
      <c r="U119" s="2"/>
      <c r="V119" s="2"/>
      <c r="W119" s="199">
        <f>[2]SA!N54</f>
        <v>52583</v>
      </c>
      <c r="X119" s="198"/>
      <c r="Y119" s="198"/>
      <c r="Z119" s="198"/>
      <c r="AA119" s="274"/>
      <c r="AB119" s="21"/>
      <c r="AC119" s="21"/>
      <c r="AD119" s="21"/>
      <c r="AE119" s="21"/>
      <c r="AF119" s="70"/>
      <c r="AG119" s="20"/>
      <c r="AH119" s="21"/>
      <c r="AI119" s="21"/>
      <c r="AJ119" s="22">
        <f t="shared" si="20"/>
        <v>52583</v>
      </c>
      <c r="AK119" s="29">
        <f>AJ119/[2]Popn!$F$41*1000</f>
        <v>32.704119703434465</v>
      </c>
      <c r="AL119" s="19"/>
      <c r="AM119" s="57"/>
      <c r="AN119" s="198"/>
      <c r="AO119" s="2"/>
      <c r="AP119" s="63"/>
      <c r="AQ119" s="68"/>
      <c r="AR119" s="21"/>
      <c r="AS119" s="21"/>
      <c r="AT119" s="21"/>
      <c r="AU119" s="240"/>
      <c r="AV119" s="19"/>
      <c r="AW119" s="19"/>
      <c r="AX119" s="68"/>
      <c r="AY119" s="238"/>
      <c r="BB119" s="243"/>
      <c r="BC119" s="24"/>
      <c r="BG119" s="147" t="s">
        <v>2</v>
      </c>
      <c r="BH119" s="52">
        <f>Q116/1000</f>
        <v>404.42939935506075</v>
      </c>
      <c r="BI119" s="52">
        <f>AJ116/1000</f>
        <v>504.91</v>
      </c>
      <c r="BJ119" s="52">
        <f>BB116/1000</f>
        <v>101.88690872602898</v>
      </c>
      <c r="BK119" s="137">
        <f t="shared" si="23"/>
        <v>0.60006044529981728</v>
      </c>
      <c r="BL119" s="52">
        <f t="shared" si="24"/>
        <v>1011.2263080810898</v>
      </c>
    </row>
    <row r="120" spans="1:80">
      <c r="A120" s="699"/>
      <c r="B120" s="23"/>
      <c r="C120" s="17" t="s">
        <v>29</v>
      </c>
      <c r="D120" s="57"/>
      <c r="E120" s="2"/>
      <c r="F120" s="2"/>
      <c r="G120" s="63"/>
      <c r="H120" s="2"/>
      <c r="I120" s="20"/>
      <c r="J120" s="21"/>
      <c r="K120" s="21"/>
      <c r="L120" s="22"/>
      <c r="M120" s="2"/>
      <c r="N120" s="23"/>
      <c r="O120" s="19"/>
      <c r="P120" s="19"/>
      <c r="Q120" s="19"/>
      <c r="R120" s="33"/>
      <c r="T120" s="57"/>
      <c r="U120" s="2"/>
      <c r="V120" s="2"/>
      <c r="W120" s="199">
        <f>[2]SA!N55</f>
        <v>45877</v>
      </c>
      <c r="X120" s="198"/>
      <c r="Y120" s="198"/>
      <c r="Z120" s="198"/>
      <c r="AA120" s="274"/>
      <c r="AB120" s="21"/>
      <c r="AC120" s="21"/>
      <c r="AD120" s="21"/>
      <c r="AE120" s="21"/>
      <c r="AF120" s="70"/>
      <c r="AG120" s="20"/>
      <c r="AH120" s="21"/>
      <c r="AI120" s="21"/>
      <c r="AJ120" s="22">
        <f t="shared" si="20"/>
        <v>45877</v>
      </c>
      <c r="AK120" s="29">
        <f>AJ120/[2]Popn!$F$41*1000</f>
        <v>28.533307335725674</v>
      </c>
      <c r="AL120" s="19"/>
      <c r="AM120" s="57"/>
      <c r="AN120" s="198"/>
      <c r="AO120" s="2"/>
      <c r="AP120" s="63"/>
      <c r="AQ120" s="68"/>
      <c r="AR120" s="21"/>
      <c r="AS120" s="21"/>
      <c r="AT120" s="21"/>
      <c r="AU120" s="240"/>
      <c r="AV120" s="19"/>
      <c r="AW120" s="19"/>
      <c r="AX120" s="68"/>
      <c r="AY120" s="238"/>
      <c r="BB120" s="243"/>
      <c r="BC120" s="24"/>
      <c r="BG120" s="147" t="s">
        <v>5</v>
      </c>
      <c r="BH120" s="52">
        <f>Q121/1000</f>
        <v>80.683146573585219</v>
      </c>
      <c r="BI120" s="52">
        <f>AJ121/1000</f>
        <v>204.06299999999999</v>
      </c>
      <c r="BJ120" s="52">
        <f>BB121/1000</f>
        <v>10.364180926327801</v>
      </c>
      <c r="BK120" s="137">
        <f t="shared" si="23"/>
        <v>0.72660005748660572</v>
      </c>
      <c r="BL120" s="52">
        <f t="shared" si="24"/>
        <v>295.11032749991296</v>
      </c>
    </row>
    <row r="121" spans="1:80" s="106" customFormat="1">
      <c r="A121" s="699"/>
      <c r="B121" s="107" t="s">
        <v>67</v>
      </c>
      <c r="C121" s="108"/>
      <c r="D121" s="109"/>
      <c r="E121" s="110"/>
      <c r="F121" s="110"/>
      <c r="G121" s="111"/>
      <c r="H121" s="110"/>
      <c r="I121" s="112">
        <f>D144*[2]SA!$J$367</f>
        <v>51692.143378521374</v>
      </c>
      <c r="J121" s="113">
        <f>(E144-G139)*[2]SA!L$228</f>
        <v>34835.326230591352</v>
      </c>
      <c r="K121" s="113">
        <f>F144*[2]SA!M$228</f>
        <v>4519.8578908003001</v>
      </c>
      <c r="L121" s="114">
        <f>SUM(I121:K121)</f>
        <v>91047.327499913023</v>
      </c>
      <c r="M121" s="110"/>
      <c r="N121" s="112">
        <f>I121-AU121</f>
        <v>45807.877017763174</v>
      </c>
      <c r="O121" s="113">
        <f>J121-AV121</f>
        <v>30869.920176450483</v>
      </c>
      <c r="P121" s="113">
        <f>K121-AW121</f>
        <v>4005.3493793715661</v>
      </c>
      <c r="Q121" s="114">
        <f>SUM(N121:P121)</f>
        <v>80683.146573585225</v>
      </c>
      <c r="R121" s="115">
        <f>Q121/[2]Popn!$F$41*1000</f>
        <v>50.181071517263746</v>
      </c>
      <c r="T121" s="109"/>
      <c r="U121" s="110"/>
      <c r="V121" s="110"/>
      <c r="W121" s="203">
        <f>SUM(W117:W120)</f>
        <v>204063</v>
      </c>
      <c r="X121" s="130"/>
      <c r="Y121" s="130"/>
      <c r="Z121" s="130"/>
      <c r="AA121" s="276"/>
      <c r="AB121" s="113"/>
      <c r="AC121" s="113"/>
      <c r="AD121" s="113"/>
      <c r="AE121" s="113"/>
      <c r="AF121" s="117"/>
      <c r="AG121" s="112"/>
      <c r="AH121" s="113"/>
      <c r="AI121" s="113"/>
      <c r="AJ121" s="114">
        <f t="shared" si="20"/>
        <v>204063</v>
      </c>
      <c r="AK121" s="118">
        <f>SUM(AK117:AK120)</f>
        <v>126.91745961702352</v>
      </c>
      <c r="AL121" s="119"/>
      <c r="AM121" s="109"/>
      <c r="AN121" s="130"/>
      <c r="AO121" s="110"/>
      <c r="AP121" s="111"/>
      <c r="AQ121" s="117"/>
      <c r="AR121" s="113">
        <f>L121*'[2]Lfill en &amp; composn'!$D$17</f>
        <v>17845.276189982953</v>
      </c>
      <c r="AS121" s="123">
        <f>AR121/SUM($AR$101:$AR$143)</f>
        <v>0.23240493710952381</v>
      </c>
      <c r="AT121" s="113">
        <f>AS121*'[2]Lfill en &amp; composn'!$F$62/'[2]Lfill en &amp; composn'!$B$17</f>
        <v>10364.180926327799</v>
      </c>
      <c r="AU121" s="120">
        <f>$AT121*I121/SUM($I121:$K121)</f>
        <v>5884.266360758199</v>
      </c>
      <c r="AV121" s="113">
        <f>$AT121*J121/SUM($I121:$K121)</f>
        <v>3965.4060541408676</v>
      </c>
      <c r="AW121" s="113">
        <f>$AT121*K121/SUM($I121:$K121)</f>
        <v>514.50851142873375</v>
      </c>
      <c r="AX121" s="116"/>
      <c r="AY121" s="241">
        <f>AU121</f>
        <v>5884.266360758199</v>
      </c>
      <c r="AZ121" s="242">
        <f>AV121</f>
        <v>3965.4060541408676</v>
      </c>
      <c r="BA121" s="242">
        <f>AW121</f>
        <v>514.50851142873375</v>
      </c>
      <c r="BB121" s="243">
        <f t="shared" ref="BB121:BB135" si="25">SUM(AY121:BA121)</f>
        <v>10364.180926327801</v>
      </c>
      <c r="BC121" s="118">
        <f>BB121/[2]Popn!$F$41*1000</f>
        <v>6.4460265417088554</v>
      </c>
      <c r="BD121" s="122"/>
      <c r="BG121" s="147" t="s">
        <v>6</v>
      </c>
      <c r="BH121" s="52">
        <f>Q131/1000</f>
        <v>61.324252642668085</v>
      </c>
      <c r="BI121" s="52">
        <f>AJ131/1000</f>
        <v>13.778</v>
      </c>
      <c r="BJ121" s="52">
        <f>BB131/1000</f>
        <v>16.5</v>
      </c>
      <c r="BK121" s="137">
        <f t="shared" si="23"/>
        <v>0.3305377228888865</v>
      </c>
      <c r="BL121" s="52">
        <f t="shared" si="24"/>
        <v>91.602252642668091</v>
      </c>
      <c r="BM121" s="6"/>
      <c r="BN121" s="6"/>
      <c r="BO121" s="6"/>
      <c r="BU121" s="6"/>
      <c r="BV121" s="6"/>
      <c r="BW121" s="6"/>
      <c r="BX121" s="6"/>
      <c r="BY121" s="6"/>
      <c r="BZ121" s="6"/>
      <c r="CA121" s="6"/>
      <c r="CB121" s="6"/>
    </row>
    <row r="122" spans="1:80">
      <c r="A122" s="699"/>
      <c r="B122" s="23" t="s">
        <v>6</v>
      </c>
      <c r="C122" s="17" t="s">
        <v>30</v>
      </c>
      <c r="D122" s="57"/>
      <c r="E122" s="2"/>
      <c r="F122" s="2"/>
      <c r="G122" s="63"/>
      <c r="H122" s="2"/>
      <c r="I122" s="20"/>
      <c r="J122" s="21"/>
      <c r="K122" s="21"/>
      <c r="L122" s="22"/>
      <c r="M122" s="2"/>
      <c r="N122" s="23"/>
      <c r="O122" s="19"/>
      <c r="P122" s="19"/>
      <c r="Q122" s="19"/>
      <c r="R122" s="33"/>
      <c r="T122" s="57"/>
      <c r="U122" s="2"/>
      <c r="V122" s="2"/>
      <c r="W122" s="199">
        <f>[2]SA!N56</f>
        <v>5200</v>
      </c>
      <c r="X122" s="198"/>
      <c r="Y122" s="198"/>
      <c r="Z122" s="198"/>
      <c r="AA122" s="274"/>
      <c r="AB122" s="21"/>
      <c r="AC122" s="21"/>
      <c r="AD122" s="21"/>
      <c r="AE122" s="21"/>
      <c r="AF122" s="70"/>
      <c r="AG122" s="20"/>
      <c r="AH122" s="21"/>
      <c r="AI122" s="21"/>
      <c r="AJ122" s="22">
        <f t="shared" si="20"/>
        <v>5200</v>
      </c>
      <c r="AK122" s="29"/>
      <c r="AL122" s="19"/>
      <c r="AM122" s="57"/>
      <c r="AN122" s="198"/>
      <c r="AO122" s="2"/>
      <c r="AP122" s="63"/>
      <c r="AQ122" s="68"/>
      <c r="AR122" s="21"/>
      <c r="AS122" s="21"/>
      <c r="AT122" s="21"/>
      <c r="AU122" s="240"/>
      <c r="AV122" s="19"/>
      <c r="AW122" s="19"/>
      <c r="AX122" s="68"/>
      <c r="AY122" s="238"/>
      <c r="BB122" s="243"/>
      <c r="BC122" s="24"/>
      <c r="BG122" s="147" t="s">
        <v>8</v>
      </c>
      <c r="BH122" s="52">
        <f>Q132/1000</f>
        <v>16.824643518736718</v>
      </c>
      <c r="BI122" s="52">
        <f>AJ132/1000</f>
        <v>61.552</v>
      </c>
      <c r="BJ122" s="52">
        <f>BB132/1000</f>
        <v>0</v>
      </c>
      <c r="BK122" s="137">
        <f t="shared" si="23"/>
        <v>0.78533600364355205</v>
      </c>
      <c r="BL122" s="52">
        <f t="shared" si="24"/>
        <v>78.376643518736714</v>
      </c>
      <c r="BU122" s="106"/>
      <c r="BV122" s="106"/>
      <c r="BW122" s="106"/>
      <c r="BX122" s="106"/>
      <c r="BY122" s="106"/>
      <c r="BZ122" s="106"/>
      <c r="CA122" s="106"/>
      <c r="CB122" s="106"/>
    </row>
    <row r="123" spans="1:80">
      <c r="A123" s="699"/>
      <c r="B123" s="23"/>
      <c r="C123" s="17" t="s">
        <v>31</v>
      </c>
      <c r="D123" s="57"/>
      <c r="E123" s="2"/>
      <c r="F123" s="2"/>
      <c r="G123" s="63"/>
      <c r="H123" s="2"/>
      <c r="I123" s="20"/>
      <c r="J123" s="21"/>
      <c r="K123" s="21"/>
      <c r="L123" s="22"/>
      <c r="M123" s="2"/>
      <c r="N123" s="23"/>
      <c r="O123" s="19"/>
      <c r="P123" s="19"/>
      <c r="Q123" s="19"/>
      <c r="R123" s="33"/>
      <c r="T123" s="57"/>
      <c r="U123" s="2"/>
      <c r="V123" s="2"/>
      <c r="W123" s="199">
        <f>[2]SA!N57</f>
        <v>2685</v>
      </c>
      <c r="X123" s="198"/>
      <c r="Y123" s="198"/>
      <c r="Z123" s="198"/>
      <c r="AA123" s="274"/>
      <c r="AB123" s="21"/>
      <c r="AC123" s="21"/>
      <c r="AD123" s="21"/>
      <c r="AE123" s="21"/>
      <c r="AF123" s="70"/>
      <c r="AG123" s="20"/>
      <c r="AH123" s="21"/>
      <c r="AI123" s="21"/>
      <c r="AJ123" s="22">
        <f t="shared" si="20"/>
        <v>2685</v>
      </c>
      <c r="AK123" s="29"/>
      <c r="AL123" s="19"/>
      <c r="AM123" s="57"/>
      <c r="AN123" s="198"/>
      <c r="AO123" s="2"/>
      <c r="AP123" s="63"/>
      <c r="AQ123" s="68"/>
      <c r="AR123" s="21"/>
      <c r="AS123" s="21"/>
      <c r="AT123" s="21"/>
      <c r="AU123" s="240"/>
      <c r="AV123" s="19"/>
      <c r="AW123" s="19"/>
      <c r="AX123" s="68"/>
      <c r="AY123" s="238"/>
      <c r="BB123" s="243"/>
      <c r="BC123" s="24"/>
      <c r="BG123" s="147" t="s">
        <v>7</v>
      </c>
      <c r="BH123" s="52">
        <f>Q135/1000</f>
        <v>32.005179388335392</v>
      </c>
      <c r="BI123" s="52">
        <f>AJ135/1000</f>
        <v>13.19</v>
      </c>
      <c r="BJ123" s="52">
        <f>BB135/1000</f>
        <v>9.9594454634943776</v>
      </c>
      <c r="BK123" s="137">
        <f t="shared" si="23"/>
        <v>0.4197190267486044</v>
      </c>
      <c r="BL123" s="52">
        <f t="shared" si="24"/>
        <v>55.154624851829766</v>
      </c>
    </row>
    <row r="124" spans="1:80">
      <c r="A124" s="699"/>
      <c r="B124" s="23"/>
      <c r="C124" s="17" t="s">
        <v>32</v>
      </c>
      <c r="D124" s="57"/>
      <c r="E124" s="2"/>
      <c r="F124" s="2"/>
      <c r="G124" s="63"/>
      <c r="H124" s="2"/>
      <c r="I124" s="20"/>
      <c r="J124" s="21"/>
      <c r="K124" s="21"/>
      <c r="L124" s="22"/>
      <c r="M124" s="2"/>
      <c r="N124" s="23"/>
      <c r="O124" s="19"/>
      <c r="P124" s="19"/>
      <c r="Q124" s="19"/>
      <c r="R124" s="33"/>
      <c r="T124" s="57"/>
      <c r="U124" s="2"/>
      <c r="V124" s="2"/>
      <c r="W124" s="199">
        <f>[2]SA!N58</f>
        <v>408</v>
      </c>
      <c r="X124" s="198"/>
      <c r="Y124" s="198"/>
      <c r="Z124" s="198"/>
      <c r="AA124" s="274"/>
      <c r="AB124" s="21"/>
      <c r="AC124" s="21"/>
      <c r="AD124" s="21"/>
      <c r="AE124" s="21"/>
      <c r="AF124" s="70"/>
      <c r="AG124" s="20"/>
      <c r="AH124" s="21"/>
      <c r="AI124" s="21"/>
      <c r="AJ124" s="22">
        <f t="shared" si="20"/>
        <v>408</v>
      </c>
      <c r="AK124" s="29"/>
      <c r="AL124" s="19"/>
      <c r="AM124" s="57"/>
      <c r="AN124" s="198"/>
      <c r="AO124" s="2"/>
      <c r="AP124" s="63"/>
      <c r="AQ124" s="68"/>
      <c r="AR124" s="21"/>
      <c r="AS124" s="21"/>
      <c r="AT124" s="21"/>
      <c r="AU124" s="240"/>
      <c r="AV124" s="19"/>
      <c r="AW124" s="19"/>
      <c r="AX124" s="68"/>
      <c r="AY124" s="238"/>
      <c r="BB124" s="243"/>
      <c r="BC124" s="24"/>
      <c r="BG124" s="147" t="s">
        <v>11</v>
      </c>
      <c r="BH124" s="52">
        <f>Q140/1000</f>
        <v>177.26837104284485</v>
      </c>
      <c r="BI124" s="52">
        <f>AJ140/1000</f>
        <v>0</v>
      </c>
      <c r="BJ124" s="52">
        <f>BB140/1000</f>
        <v>0</v>
      </c>
      <c r="BK124" s="137">
        <f t="shared" si="23"/>
        <v>0</v>
      </c>
      <c r="BL124" s="52">
        <f t="shared" si="24"/>
        <v>177.26837104284485</v>
      </c>
    </row>
    <row r="125" spans="1:80" s="90" customFormat="1">
      <c r="A125" s="699"/>
      <c r="B125" s="91" t="s">
        <v>42</v>
      </c>
      <c r="C125" s="92"/>
      <c r="D125" s="93"/>
      <c r="E125" s="94"/>
      <c r="F125" s="94"/>
      <c r="G125" s="95"/>
      <c r="H125" s="94"/>
      <c r="I125" s="96"/>
      <c r="J125" s="97"/>
      <c r="K125" s="97"/>
      <c r="L125" s="98"/>
      <c r="M125" s="94"/>
      <c r="N125" s="96"/>
      <c r="O125" s="97"/>
      <c r="P125" s="97"/>
      <c r="Q125" s="97"/>
      <c r="R125" s="99"/>
      <c r="T125" s="93"/>
      <c r="U125" s="94"/>
      <c r="V125" s="94"/>
      <c r="W125" s="211">
        <f>SUM(W122:W124)</f>
        <v>8293</v>
      </c>
      <c r="X125" s="289"/>
      <c r="Y125" s="289"/>
      <c r="Z125" s="289"/>
      <c r="AA125" s="280"/>
      <c r="AB125" s="97"/>
      <c r="AC125" s="97"/>
      <c r="AD125" s="97"/>
      <c r="AE125" s="97"/>
      <c r="AF125" s="101"/>
      <c r="AG125" s="96"/>
      <c r="AH125" s="97"/>
      <c r="AI125" s="97"/>
      <c r="AJ125" s="98">
        <f t="shared" si="20"/>
        <v>8293</v>
      </c>
      <c r="AK125" s="102">
        <f>SUM(AK122:AK124)</f>
        <v>0</v>
      </c>
      <c r="AL125" s="103"/>
      <c r="AM125" s="93"/>
      <c r="AN125" s="204"/>
      <c r="AO125" s="94"/>
      <c r="AP125" s="95"/>
      <c r="AQ125" s="100"/>
      <c r="AR125" s="97"/>
      <c r="AS125" s="128"/>
      <c r="AT125" s="128"/>
      <c r="AU125" s="104"/>
      <c r="AV125" s="97"/>
      <c r="AW125" s="97"/>
      <c r="AX125" s="100"/>
      <c r="AY125" s="239"/>
      <c r="BB125" s="243"/>
      <c r="BC125" s="105"/>
      <c r="BG125" s="147" t="s">
        <v>1</v>
      </c>
      <c r="BH125" s="52">
        <f>Q141/1000</f>
        <v>0</v>
      </c>
      <c r="BI125" s="52">
        <f>AJ141/1000</f>
        <v>223</v>
      </c>
      <c r="BJ125" s="52">
        <f>BB141/1000</f>
        <v>0</v>
      </c>
      <c r="BK125" s="137">
        <f t="shared" si="23"/>
        <v>1</v>
      </c>
      <c r="BL125" s="52">
        <f t="shared" si="24"/>
        <v>223</v>
      </c>
      <c r="BM125" s="6"/>
      <c r="BN125" s="6"/>
      <c r="BO125" s="6"/>
      <c r="BU125" s="6"/>
      <c r="BV125" s="6"/>
      <c r="BW125" s="6"/>
      <c r="BX125" s="6"/>
      <c r="BY125" s="6"/>
      <c r="BZ125" s="6"/>
      <c r="CA125" s="6"/>
      <c r="CB125" s="6"/>
    </row>
    <row r="126" spans="1:80">
      <c r="A126" s="699"/>
      <c r="B126" s="23"/>
      <c r="C126" s="17" t="s">
        <v>33</v>
      </c>
      <c r="D126" s="57"/>
      <c r="E126" s="2"/>
      <c r="F126" s="2"/>
      <c r="G126" s="63"/>
      <c r="H126" s="2"/>
      <c r="I126" s="20"/>
      <c r="J126" s="21"/>
      <c r="K126" s="21"/>
      <c r="L126" s="22"/>
      <c r="M126" s="2"/>
      <c r="N126" s="23"/>
      <c r="O126" s="19"/>
      <c r="P126" s="19"/>
      <c r="Q126" s="19"/>
      <c r="R126" s="33"/>
      <c r="T126" s="57"/>
      <c r="U126" s="2"/>
      <c r="V126" s="2"/>
      <c r="W126" s="199">
        <f>[2]SA!N59</f>
        <v>2954</v>
      </c>
      <c r="X126" s="198"/>
      <c r="Y126" s="198"/>
      <c r="Z126" s="198"/>
      <c r="AA126" s="274"/>
      <c r="AB126" s="21"/>
      <c r="AC126" s="21"/>
      <c r="AD126" s="21"/>
      <c r="AE126" s="21"/>
      <c r="AF126" s="70"/>
      <c r="AG126" s="20"/>
      <c r="AH126" s="21"/>
      <c r="AI126" s="21"/>
      <c r="AJ126" s="22">
        <f t="shared" si="20"/>
        <v>2954</v>
      </c>
      <c r="AK126" s="29"/>
      <c r="AL126" s="19"/>
      <c r="AM126" s="57"/>
      <c r="AN126" s="198"/>
      <c r="AO126" s="2"/>
      <c r="AP126" s="63"/>
      <c r="AQ126" s="68"/>
      <c r="AR126" s="21"/>
      <c r="AS126" s="21"/>
      <c r="AT126" s="21"/>
      <c r="AU126" s="240"/>
      <c r="AV126" s="19"/>
      <c r="AW126" s="19"/>
      <c r="AX126" s="68"/>
      <c r="AY126" s="238"/>
      <c r="BB126" s="243"/>
      <c r="BC126" s="24"/>
      <c r="BG126" s="142"/>
      <c r="BU126" s="90"/>
      <c r="BV126" s="90"/>
      <c r="BW126" s="90"/>
      <c r="BX126" s="90"/>
      <c r="BY126" s="90"/>
      <c r="BZ126" s="90"/>
      <c r="CA126" s="90"/>
      <c r="CB126" s="90"/>
    </row>
    <row r="127" spans="1:80">
      <c r="A127" s="699"/>
      <c r="B127" s="23"/>
      <c r="C127" s="17" t="s">
        <v>34</v>
      </c>
      <c r="D127" s="57"/>
      <c r="E127" s="2"/>
      <c r="F127" s="2"/>
      <c r="G127" s="63"/>
      <c r="H127" s="2"/>
      <c r="I127" s="20"/>
      <c r="J127" s="21"/>
      <c r="K127" s="21"/>
      <c r="L127" s="22"/>
      <c r="M127" s="2"/>
      <c r="N127" s="23"/>
      <c r="O127" s="19"/>
      <c r="P127" s="19"/>
      <c r="Q127" s="19"/>
      <c r="R127" s="33"/>
      <c r="T127" s="57"/>
      <c r="U127" s="2"/>
      <c r="V127" s="2"/>
      <c r="W127" s="199">
        <f>[2]SA!N60</f>
        <v>1529</v>
      </c>
      <c r="X127" s="198"/>
      <c r="Y127" s="198"/>
      <c r="Z127" s="198"/>
      <c r="AA127" s="274"/>
      <c r="AB127" s="21"/>
      <c r="AC127" s="21"/>
      <c r="AD127" s="21"/>
      <c r="AE127" s="21"/>
      <c r="AF127" s="70"/>
      <c r="AG127" s="20"/>
      <c r="AH127" s="21"/>
      <c r="AI127" s="21"/>
      <c r="AJ127" s="22">
        <f t="shared" si="20"/>
        <v>1529</v>
      </c>
      <c r="AK127" s="29"/>
      <c r="AL127" s="19"/>
      <c r="AM127" s="57"/>
      <c r="AN127" s="198"/>
      <c r="AO127" s="2"/>
      <c r="AP127" s="63"/>
      <c r="AQ127" s="68"/>
      <c r="AR127" s="21"/>
      <c r="AS127" s="21"/>
      <c r="AT127" s="21"/>
      <c r="AU127" s="240"/>
      <c r="AV127" s="19"/>
      <c r="AW127" s="19"/>
      <c r="AX127" s="68"/>
      <c r="AY127" s="238"/>
      <c r="BB127" s="243"/>
      <c r="BC127" s="24"/>
    </row>
    <row r="128" spans="1:80">
      <c r="A128" s="699"/>
      <c r="B128" s="23"/>
      <c r="C128" s="17" t="s">
        <v>35</v>
      </c>
      <c r="D128" s="57"/>
      <c r="E128" s="2"/>
      <c r="F128" s="2"/>
      <c r="G128" s="63"/>
      <c r="H128" s="2"/>
      <c r="I128" s="20"/>
      <c r="J128" s="21"/>
      <c r="K128" s="21"/>
      <c r="L128" s="22"/>
      <c r="M128" s="2"/>
      <c r="N128" s="23"/>
      <c r="O128" s="19"/>
      <c r="P128" s="19"/>
      <c r="Q128" s="19"/>
      <c r="R128" s="33"/>
      <c r="T128" s="57"/>
      <c r="U128" s="2"/>
      <c r="V128" s="2"/>
      <c r="W128" s="199">
        <f>[2]SA!N61</f>
        <v>540</v>
      </c>
      <c r="X128" s="198"/>
      <c r="Y128" s="198"/>
      <c r="Z128" s="198"/>
      <c r="AA128" s="274"/>
      <c r="AB128" s="21"/>
      <c r="AC128" s="21"/>
      <c r="AD128" s="21"/>
      <c r="AE128" s="21"/>
      <c r="AF128" s="70"/>
      <c r="AG128" s="20"/>
      <c r="AH128" s="21"/>
      <c r="AI128" s="21"/>
      <c r="AJ128" s="22">
        <f t="shared" si="20"/>
        <v>540</v>
      </c>
      <c r="AK128" s="29"/>
      <c r="AL128" s="19"/>
      <c r="AM128" s="57"/>
      <c r="AN128" s="198"/>
      <c r="AO128" s="2"/>
      <c r="AP128" s="63"/>
      <c r="AQ128" s="68"/>
      <c r="AR128" s="21"/>
      <c r="AS128" s="21"/>
      <c r="AT128" s="21"/>
      <c r="AU128" s="240"/>
      <c r="AV128" s="19"/>
      <c r="AW128" s="19"/>
      <c r="AX128" s="68"/>
      <c r="AY128" s="238"/>
      <c r="BB128" s="243"/>
      <c r="BC128" s="24"/>
    </row>
    <row r="129" spans="1:80">
      <c r="A129" s="699"/>
      <c r="B129" s="23"/>
      <c r="C129" s="17" t="s">
        <v>36</v>
      </c>
      <c r="D129" s="57"/>
      <c r="E129" s="2"/>
      <c r="F129" s="2"/>
      <c r="G129" s="63"/>
      <c r="H129" s="2"/>
      <c r="I129" s="20"/>
      <c r="J129" s="21"/>
      <c r="K129" s="21"/>
      <c r="L129" s="22"/>
      <c r="M129" s="2"/>
      <c r="N129" s="23"/>
      <c r="O129" s="19"/>
      <c r="P129" s="19"/>
      <c r="Q129" s="19"/>
      <c r="R129" s="33"/>
      <c r="T129" s="57"/>
      <c r="U129" s="2"/>
      <c r="V129" s="2"/>
      <c r="W129" s="199">
        <f>[2]SA!N62</f>
        <v>462</v>
      </c>
      <c r="X129" s="198"/>
      <c r="Y129" s="198"/>
      <c r="Z129" s="198"/>
      <c r="AA129" s="274"/>
      <c r="AB129" s="21"/>
      <c r="AC129" s="21"/>
      <c r="AD129" s="21"/>
      <c r="AE129" s="21"/>
      <c r="AF129" s="70"/>
      <c r="AG129" s="20"/>
      <c r="AH129" s="21"/>
      <c r="AI129" s="21"/>
      <c r="AJ129" s="22">
        <f t="shared" si="20"/>
        <v>462</v>
      </c>
      <c r="AK129" s="29"/>
      <c r="AL129" s="19"/>
      <c r="AM129" s="57"/>
      <c r="AN129" s="198"/>
      <c r="AO129" s="2"/>
      <c r="AP129" s="63"/>
      <c r="AQ129" s="68"/>
      <c r="AR129" s="21"/>
      <c r="AS129" s="21"/>
      <c r="AT129" s="21"/>
      <c r="AU129" s="240"/>
      <c r="AV129" s="19"/>
      <c r="AW129" s="19"/>
      <c r="AX129" s="68"/>
      <c r="AY129" s="238"/>
      <c r="BB129" s="243"/>
      <c r="BC129" s="24"/>
    </row>
    <row r="130" spans="1:80" s="90" customFormat="1">
      <c r="A130" s="699"/>
      <c r="B130" s="91" t="s">
        <v>43</v>
      </c>
      <c r="C130" s="92"/>
      <c r="D130" s="93"/>
      <c r="E130" s="94"/>
      <c r="F130" s="94"/>
      <c r="G130" s="95"/>
      <c r="H130" s="94"/>
      <c r="I130" s="96"/>
      <c r="J130" s="97"/>
      <c r="K130" s="97"/>
      <c r="L130" s="98"/>
      <c r="M130" s="94"/>
      <c r="N130" s="96"/>
      <c r="O130" s="97"/>
      <c r="P130" s="97"/>
      <c r="Q130" s="97"/>
      <c r="R130" s="99"/>
      <c r="T130" s="93"/>
      <c r="U130" s="94"/>
      <c r="V130" s="94"/>
      <c r="W130" s="211">
        <f>SUM(W126:W129)</f>
        <v>5485</v>
      </c>
      <c r="X130" s="289"/>
      <c r="Y130" s="289"/>
      <c r="Z130" s="289"/>
      <c r="AA130" s="280"/>
      <c r="AB130" s="97"/>
      <c r="AC130" s="97"/>
      <c r="AD130" s="97"/>
      <c r="AE130" s="97"/>
      <c r="AF130" s="101"/>
      <c r="AG130" s="96"/>
      <c r="AH130" s="97"/>
      <c r="AI130" s="97"/>
      <c r="AJ130" s="98">
        <f t="shared" si="20"/>
        <v>5485</v>
      </c>
      <c r="AK130" s="102">
        <f>SUM(AK126:AK129)</f>
        <v>0</v>
      </c>
      <c r="AL130" s="103"/>
      <c r="AM130" s="93"/>
      <c r="AN130" s="204"/>
      <c r="AO130" s="94"/>
      <c r="AP130" s="95"/>
      <c r="AQ130" s="100"/>
      <c r="AR130" s="97"/>
      <c r="AS130" s="97"/>
      <c r="AT130" s="97"/>
      <c r="AU130" s="104"/>
      <c r="AV130" s="97"/>
      <c r="AW130" s="97"/>
      <c r="AX130" s="100"/>
      <c r="AY130" s="239"/>
      <c r="BB130" s="243"/>
      <c r="BC130" s="105"/>
      <c r="BG130" s="143"/>
      <c r="BU130" s="6"/>
      <c r="BV130" s="6"/>
      <c r="BW130" s="6"/>
      <c r="BX130" s="6"/>
      <c r="BY130" s="6"/>
      <c r="BZ130" s="6"/>
      <c r="CA130" s="6"/>
      <c r="CB130" s="6"/>
    </row>
    <row r="131" spans="1:80" s="106" customFormat="1">
      <c r="A131" s="699"/>
      <c r="B131" s="107" t="s">
        <v>67</v>
      </c>
      <c r="C131" s="108"/>
      <c r="D131" s="109"/>
      <c r="E131" s="110"/>
      <c r="F131" s="110"/>
      <c r="G131" s="111"/>
      <c r="H131" s="110"/>
      <c r="I131" s="112">
        <f>D144*[2]SA!$J$368</f>
        <v>31907.764719960978</v>
      </c>
      <c r="J131" s="113">
        <f>(E144-G139)*[2]SA!L$229</f>
        <v>22753.174347538821</v>
      </c>
      <c r="K131" s="113">
        <f>F144*[2]SA!M$229</f>
        <v>6663.3135751682876</v>
      </c>
      <c r="L131" s="114">
        <f>SUM(I131:K131)</f>
        <v>61324.252642668085</v>
      </c>
      <c r="M131" s="110"/>
      <c r="N131" s="112">
        <f t="shared" ref="N131:P132" si="26">I131-AU131</f>
        <v>31907.764719960978</v>
      </c>
      <c r="O131" s="113">
        <f t="shared" si="26"/>
        <v>22753.174347538821</v>
      </c>
      <c r="P131" s="113">
        <f t="shared" si="26"/>
        <v>6663.3135751682876</v>
      </c>
      <c r="Q131" s="114">
        <f>SUM(N131:P131)</f>
        <v>61324.252642668085</v>
      </c>
      <c r="R131" s="115">
        <f>Q131/[2]Popn!$F$41*1000</f>
        <v>38.140762207357405</v>
      </c>
      <c r="T131" s="109"/>
      <c r="U131" s="110"/>
      <c r="V131" s="110"/>
      <c r="W131" s="203">
        <f>W125+W130</f>
        <v>13778</v>
      </c>
      <c r="X131" s="130"/>
      <c r="Y131" s="130"/>
      <c r="Z131" s="130"/>
      <c r="AA131" s="276"/>
      <c r="AB131" s="113"/>
      <c r="AC131" s="113"/>
      <c r="AD131" s="113"/>
      <c r="AE131" s="113"/>
      <c r="AF131" s="117"/>
      <c r="AG131" s="112"/>
      <c r="AH131" s="113"/>
      <c r="AI131" s="113"/>
      <c r="AJ131" s="114">
        <f t="shared" si="20"/>
        <v>13778</v>
      </c>
      <c r="AK131" s="115">
        <f>AK125+AK130</f>
        <v>0</v>
      </c>
      <c r="AL131" s="119"/>
      <c r="AM131" s="109"/>
      <c r="AN131" s="130">
        <f>[2]SA!$M$162*[2]SA!$M$155</f>
        <v>16500</v>
      </c>
      <c r="AO131" s="110"/>
      <c r="AP131" s="111"/>
      <c r="AQ131" s="116"/>
      <c r="AR131" s="113"/>
      <c r="AS131" s="113"/>
      <c r="AT131" s="113"/>
      <c r="AU131" s="120"/>
      <c r="AV131" s="113"/>
      <c r="AW131" s="113"/>
      <c r="AX131" s="116"/>
      <c r="AY131" s="237"/>
      <c r="AZ131" s="242">
        <f>AN131</f>
        <v>16500</v>
      </c>
      <c r="BB131" s="243">
        <f t="shared" si="25"/>
        <v>16500</v>
      </c>
      <c r="BC131" s="118">
        <f>BB131/[2]Popn!$F$41*1000</f>
        <v>10.262213550133477</v>
      </c>
      <c r="BG131" s="144"/>
      <c r="BU131" s="90"/>
      <c r="BV131" s="90"/>
      <c r="BW131" s="90"/>
      <c r="BX131" s="90"/>
      <c r="BY131" s="90"/>
      <c r="BZ131" s="90"/>
      <c r="CA131" s="90"/>
      <c r="CB131" s="90"/>
    </row>
    <row r="132" spans="1:80" s="106" customFormat="1">
      <c r="A132" s="699"/>
      <c r="B132" s="37" t="s">
        <v>8</v>
      </c>
      <c r="C132" s="129" t="s">
        <v>8</v>
      </c>
      <c r="D132" s="109"/>
      <c r="E132" s="110"/>
      <c r="F132" s="110"/>
      <c r="G132" s="111"/>
      <c r="H132" s="110"/>
      <c r="I132" s="112">
        <f>D144*[2]SA!$J$369</f>
        <v>13842.633095344554</v>
      </c>
      <c r="J132" s="113">
        <f>(E144-G139)*[2]SA!L$230</f>
        <v>2286.6476709613485</v>
      </c>
      <c r="K132" s="113">
        <f>F144*[2]SA!M$230</f>
        <v>695.36275243081536</v>
      </c>
      <c r="L132" s="114">
        <f>SUM(I132:K132)</f>
        <v>16824.643518736717</v>
      </c>
      <c r="M132" s="110"/>
      <c r="N132" s="112">
        <f t="shared" si="26"/>
        <v>13842.633095344554</v>
      </c>
      <c r="O132" s="113">
        <f t="shared" si="26"/>
        <v>2286.6476709613485</v>
      </c>
      <c r="P132" s="113">
        <f t="shared" si="26"/>
        <v>695.36275243081536</v>
      </c>
      <c r="Q132" s="114">
        <f>SUM(N132:P132)</f>
        <v>16824.643518736717</v>
      </c>
      <c r="R132" s="115">
        <f>Q132/[2]Popn!$F$41*1000</f>
        <v>10.464126345099718</v>
      </c>
      <c r="T132" s="109"/>
      <c r="U132" s="110"/>
      <c r="V132" s="110"/>
      <c r="W132" s="199">
        <f>[2]SA!N63</f>
        <v>61552</v>
      </c>
      <c r="X132" s="198"/>
      <c r="Y132" s="198"/>
      <c r="Z132" s="198"/>
      <c r="AA132" s="276"/>
      <c r="AB132" s="113"/>
      <c r="AC132" s="113"/>
      <c r="AD132" s="113"/>
      <c r="AE132" s="113"/>
      <c r="AF132" s="117"/>
      <c r="AG132" s="112"/>
      <c r="AH132" s="113"/>
      <c r="AI132" s="113"/>
      <c r="AJ132" s="114">
        <f t="shared" si="20"/>
        <v>61552</v>
      </c>
      <c r="AK132" s="118">
        <f>AJ132/[2]Popn!$F$41*1000</f>
        <v>38.282410208352474</v>
      </c>
      <c r="AL132" s="119"/>
      <c r="AM132" s="109"/>
      <c r="AN132" s="130"/>
      <c r="AO132" s="110"/>
      <c r="AP132" s="111"/>
      <c r="AQ132" s="116"/>
      <c r="AR132" s="113"/>
      <c r="AS132" s="113"/>
      <c r="AT132" s="113"/>
      <c r="AU132" s="120"/>
      <c r="AV132" s="113"/>
      <c r="AW132" s="113"/>
      <c r="AX132" s="116"/>
      <c r="AY132" s="237"/>
      <c r="BB132" s="243"/>
      <c r="BC132" s="121"/>
      <c r="BG132" s="144"/>
    </row>
    <row r="133" spans="1:80">
      <c r="A133" s="699"/>
      <c r="B133" s="23" t="s">
        <v>7</v>
      </c>
      <c r="C133" s="17" t="s">
        <v>9</v>
      </c>
      <c r="D133" s="57"/>
      <c r="E133" s="2"/>
      <c r="F133" s="2"/>
      <c r="G133" s="63"/>
      <c r="H133" s="2"/>
      <c r="I133" s="20">
        <f>D144*[2]SA!$J$370</f>
        <v>14270.271892463072</v>
      </c>
      <c r="J133" s="21"/>
      <c r="K133" s="21"/>
      <c r="L133" s="22"/>
      <c r="M133" s="2"/>
      <c r="N133" s="20"/>
      <c r="O133" s="21"/>
      <c r="P133" s="21"/>
      <c r="Q133" s="22"/>
      <c r="R133" s="34"/>
      <c r="T133" s="57"/>
      <c r="U133" s="2"/>
      <c r="V133" s="2"/>
      <c r="W133" s="199">
        <f>[2]SA!N64</f>
        <v>3052</v>
      </c>
      <c r="X133" s="198"/>
      <c r="Y133" s="198"/>
      <c r="Z133" s="198"/>
      <c r="AA133" s="274"/>
      <c r="AB133" s="21"/>
      <c r="AC133" s="21"/>
      <c r="AD133" s="21"/>
      <c r="AE133" s="21"/>
      <c r="AF133" s="70"/>
      <c r="AG133" s="20"/>
      <c r="AH133" s="21"/>
      <c r="AI133" s="21"/>
      <c r="AJ133" s="22">
        <f t="shared" si="20"/>
        <v>3052</v>
      </c>
      <c r="AK133" s="29">
        <f>AJ133/[2]Popn!$F$41*1000</f>
        <v>1.8981985306065077</v>
      </c>
      <c r="AL133" s="19"/>
      <c r="AM133" s="57"/>
      <c r="AN133" s="198">
        <f>[2]SA!$M$163*[2]SA!$M$155</f>
        <v>5500</v>
      </c>
      <c r="AO133" s="2"/>
      <c r="AP133" s="63"/>
      <c r="AQ133" s="68"/>
      <c r="AR133" s="21"/>
      <c r="AS133" s="35"/>
      <c r="AT133" s="21"/>
      <c r="AU133" s="25"/>
      <c r="AV133" s="21"/>
      <c r="AW133" s="21"/>
      <c r="AX133" s="68"/>
      <c r="AY133" s="238"/>
      <c r="AZ133" s="52">
        <f>AN133</f>
        <v>5500</v>
      </c>
      <c r="BB133" s="243"/>
      <c r="BC133" s="29"/>
      <c r="BU133" s="106"/>
      <c r="BV133" s="106"/>
      <c r="BW133" s="106"/>
      <c r="BX133" s="106"/>
      <c r="BY133" s="106"/>
      <c r="BZ133" s="106"/>
      <c r="CA133" s="106"/>
      <c r="CB133" s="106"/>
    </row>
    <row r="134" spans="1:80">
      <c r="A134" s="699"/>
      <c r="B134" s="23"/>
      <c r="C134" s="17" t="s">
        <v>10</v>
      </c>
      <c r="D134" s="57"/>
      <c r="E134" s="2"/>
      <c r="F134" s="2"/>
      <c r="G134" s="63"/>
      <c r="H134" s="2"/>
      <c r="I134" s="20">
        <f>D144*[2]SA!$J$371</f>
        <v>0</v>
      </c>
      <c r="J134" s="21"/>
      <c r="K134" s="21"/>
      <c r="L134" s="22"/>
      <c r="M134" s="2"/>
      <c r="N134" s="20"/>
      <c r="O134" s="21"/>
      <c r="P134" s="21"/>
      <c r="Q134" s="22"/>
      <c r="R134" s="33"/>
      <c r="T134" s="57"/>
      <c r="U134" s="2"/>
      <c r="V134" s="2"/>
      <c r="W134" s="199">
        <f>[2]SA!N65</f>
        <v>10138</v>
      </c>
      <c r="X134" s="198"/>
      <c r="Y134" s="198"/>
      <c r="Z134" s="198"/>
      <c r="AA134" s="274"/>
      <c r="AB134" s="21"/>
      <c r="AC134" s="21"/>
      <c r="AD134" s="21"/>
      <c r="AE134" s="21"/>
      <c r="AF134" s="70"/>
      <c r="AG134" s="20"/>
      <c r="AH134" s="21"/>
      <c r="AI134" s="21"/>
      <c r="AJ134" s="22">
        <f t="shared" si="20"/>
        <v>10138</v>
      </c>
      <c r="AK134" s="29">
        <f>AJ134/[2]Popn!$F$41*1000</f>
        <v>6.3053527861365577</v>
      </c>
      <c r="AL134" s="19"/>
      <c r="AM134" s="57"/>
      <c r="AN134" s="2"/>
      <c r="AO134" s="2"/>
      <c r="AP134" s="63"/>
      <c r="AQ134" s="68"/>
      <c r="AR134" s="21"/>
      <c r="AS134" s="21"/>
      <c r="AT134" s="21"/>
      <c r="AU134" s="240"/>
      <c r="AV134" s="21"/>
      <c r="AW134" s="19"/>
      <c r="AX134" s="68"/>
      <c r="AY134" s="238"/>
      <c r="BB134" s="243"/>
      <c r="BC134" s="29"/>
    </row>
    <row r="135" spans="1:80" s="106" customFormat="1">
      <c r="A135" s="699"/>
      <c r="B135" s="107" t="s">
        <v>67</v>
      </c>
      <c r="C135" s="108"/>
      <c r="D135" s="109"/>
      <c r="E135" s="110"/>
      <c r="F135" s="110"/>
      <c r="G135" s="111"/>
      <c r="H135" s="110"/>
      <c r="I135" s="112">
        <f>SUM(I133:I134)</f>
        <v>14270.271892463072</v>
      </c>
      <c r="J135" s="113">
        <f>(E144-G139)*[2]SA!L$231</f>
        <v>13328.477865873803</v>
      </c>
      <c r="K135" s="113">
        <f>F144*[2]SA!M$231</f>
        <v>8865.8750934928939</v>
      </c>
      <c r="L135" s="114">
        <f>SUM(I135:K135)</f>
        <v>36464.624851829765</v>
      </c>
      <c r="M135" s="110"/>
      <c r="N135" s="112">
        <f>I135-AU135</f>
        <v>12525.087360543159</v>
      </c>
      <c r="O135" s="113">
        <f>J135-AV135</f>
        <v>11698.47014206546</v>
      </c>
      <c r="P135" s="113">
        <f>K135-AW135</f>
        <v>7781.6218857267722</v>
      </c>
      <c r="Q135" s="114">
        <f>SUM(N135:P135)</f>
        <v>32005.179388335389</v>
      </c>
      <c r="R135" s="115">
        <f>Q135/[2]Popn!$F$41*1000</f>
        <v>19.905696096571404</v>
      </c>
      <c r="T135" s="109"/>
      <c r="U135" s="110"/>
      <c r="V135" s="110"/>
      <c r="W135" s="203">
        <f>SUM(W133:W134)</f>
        <v>13190</v>
      </c>
      <c r="X135" s="130"/>
      <c r="Y135" s="130"/>
      <c r="Z135" s="130"/>
      <c r="AA135" s="276"/>
      <c r="AB135" s="113"/>
      <c r="AC135" s="113"/>
      <c r="AD135" s="113"/>
      <c r="AE135" s="113"/>
      <c r="AF135" s="117"/>
      <c r="AG135" s="112"/>
      <c r="AH135" s="113"/>
      <c r="AI135" s="113"/>
      <c r="AJ135" s="114">
        <f t="shared" si="20"/>
        <v>13190</v>
      </c>
      <c r="AK135" s="118">
        <f>SUM(AK133:AK134)</f>
        <v>8.2035513167430647</v>
      </c>
      <c r="AL135" s="119"/>
      <c r="AM135" s="109"/>
      <c r="AN135" s="110"/>
      <c r="AO135" s="110"/>
      <c r="AP135" s="111"/>
      <c r="AQ135" s="116"/>
      <c r="AR135" s="113">
        <f>L135*'[2]Lfill en &amp; composn'!$D$25</f>
        <v>5743.1784141631879</v>
      </c>
      <c r="AS135" s="113">
        <f>AR135/SUM($AR$7:$AR$49)</f>
        <v>8.0730704596060493E-2</v>
      </c>
      <c r="AT135" s="113">
        <f>AS135*'[2]Lfill en &amp; composn'!$F$64/'[2]Lfill en &amp; composn'!$B$25</f>
        <v>4459.4454634943777</v>
      </c>
      <c r="AU135" s="120">
        <f>$AT135*I135/SUM($I135:$K135)</f>
        <v>1745.1845319199135</v>
      </c>
      <c r="AV135" s="113">
        <f>$AT135*J135/SUM($I135:$K135)</f>
        <v>1630.0077238083427</v>
      </c>
      <c r="AW135" s="113">
        <f>$AT135*K135/SUM($I135:$K135)</f>
        <v>1084.2532077661222</v>
      </c>
      <c r="AX135" s="116"/>
      <c r="AY135" s="241">
        <f>AU135</f>
        <v>1745.1845319199135</v>
      </c>
      <c r="AZ135" s="242">
        <f>AV135+AZ133</f>
        <v>7130.0077238083431</v>
      </c>
      <c r="BA135" s="242">
        <f>AW135</f>
        <v>1084.2532077661222</v>
      </c>
      <c r="BB135" s="243">
        <f t="shared" si="25"/>
        <v>9959.4454634943777</v>
      </c>
      <c r="BC135" s="118">
        <f>BB135/[2]Popn!$F$41*1000</f>
        <v>6.1943003749871162</v>
      </c>
      <c r="BD135" s="122"/>
      <c r="BG135" s="144"/>
      <c r="BU135" s="6"/>
      <c r="BV135" s="6"/>
      <c r="BW135" s="6"/>
      <c r="BX135" s="6"/>
      <c r="BY135" s="6"/>
      <c r="BZ135" s="6"/>
      <c r="CA135" s="6"/>
      <c r="CB135" s="6"/>
    </row>
    <row r="136" spans="1:80">
      <c r="A136" s="699"/>
      <c r="B136" s="23" t="s">
        <v>11</v>
      </c>
      <c r="C136" s="17" t="s">
        <v>12</v>
      </c>
      <c r="D136" s="57"/>
      <c r="E136" s="2"/>
      <c r="F136" s="2"/>
      <c r="G136" s="63"/>
      <c r="H136" s="2"/>
      <c r="I136" s="20"/>
      <c r="J136" s="21"/>
      <c r="K136" s="21"/>
      <c r="L136" s="22"/>
      <c r="M136" s="2"/>
      <c r="N136" s="20"/>
      <c r="O136" s="21"/>
      <c r="P136" s="21"/>
      <c r="Q136" s="22"/>
      <c r="R136" s="33"/>
      <c r="T136" s="57"/>
      <c r="U136" s="2"/>
      <c r="V136" s="2"/>
      <c r="W136" s="199"/>
      <c r="X136" s="198"/>
      <c r="Y136" s="198"/>
      <c r="Z136" s="198"/>
      <c r="AA136" s="274"/>
      <c r="AB136" s="21"/>
      <c r="AC136" s="21"/>
      <c r="AD136" s="21"/>
      <c r="AE136" s="21"/>
      <c r="AF136" s="70"/>
      <c r="AG136" s="20"/>
      <c r="AH136" s="21"/>
      <c r="AI136" s="21"/>
      <c r="AJ136" s="22">
        <f t="shared" si="20"/>
        <v>0</v>
      </c>
      <c r="AK136" s="29"/>
      <c r="AL136" s="19"/>
      <c r="AM136" s="57"/>
      <c r="AN136" s="2"/>
      <c r="AO136" s="2"/>
      <c r="AP136" s="63"/>
      <c r="AQ136" s="68"/>
      <c r="AR136" s="21"/>
      <c r="AS136" s="21"/>
      <c r="AT136" s="21"/>
      <c r="AU136" s="25"/>
      <c r="AV136" s="21"/>
      <c r="AW136" s="22"/>
      <c r="AX136" s="2"/>
      <c r="AY136" s="23"/>
      <c r="AZ136" s="19"/>
      <c r="BA136" s="19"/>
      <c r="BB136" s="243"/>
      <c r="BC136" s="24"/>
      <c r="BU136" s="106"/>
      <c r="BV136" s="106"/>
      <c r="BW136" s="106"/>
      <c r="BX136" s="106"/>
      <c r="BY136" s="106"/>
      <c r="BZ136" s="106"/>
      <c r="CA136" s="106"/>
      <c r="CB136" s="106"/>
    </row>
    <row r="137" spans="1:80">
      <c r="A137" s="699"/>
      <c r="B137" s="23"/>
      <c r="C137" s="17" t="s">
        <v>13</v>
      </c>
      <c r="D137" s="57"/>
      <c r="E137" s="2"/>
      <c r="F137" s="2"/>
      <c r="G137" s="156"/>
      <c r="H137" s="3"/>
      <c r="I137" s="20"/>
      <c r="J137" s="21"/>
      <c r="K137" s="21"/>
      <c r="L137" s="22"/>
      <c r="M137" s="83"/>
      <c r="N137" s="20"/>
      <c r="O137" s="21"/>
      <c r="P137" s="21"/>
      <c r="Q137" s="22"/>
      <c r="R137" s="34"/>
      <c r="T137" s="57"/>
      <c r="U137" s="2"/>
      <c r="V137" s="2"/>
      <c r="W137" s="199"/>
      <c r="X137" s="198"/>
      <c r="Y137" s="198"/>
      <c r="Z137" s="198"/>
      <c r="AA137" s="282"/>
      <c r="AB137" s="21"/>
      <c r="AC137" s="21"/>
      <c r="AD137" s="21"/>
      <c r="AE137" s="21"/>
      <c r="AF137" s="70"/>
      <c r="AG137" s="20"/>
      <c r="AH137" s="21"/>
      <c r="AI137" s="21"/>
      <c r="AJ137" s="22">
        <f t="shared" si="20"/>
        <v>0</v>
      </c>
      <c r="AK137" s="29"/>
      <c r="AL137" s="19"/>
      <c r="AM137" s="57"/>
      <c r="AN137" s="2"/>
      <c r="AO137" s="2"/>
      <c r="AP137" s="64"/>
      <c r="AQ137" s="69"/>
      <c r="AR137" s="21"/>
      <c r="AS137" s="21"/>
      <c r="AT137" s="21"/>
      <c r="AU137" s="25"/>
      <c r="AV137" s="21"/>
      <c r="AW137" s="22"/>
      <c r="AX137" s="2"/>
      <c r="AY137" s="20"/>
      <c r="AZ137" s="21"/>
      <c r="BA137" s="21"/>
      <c r="BB137" s="243"/>
      <c r="BC137" s="24"/>
    </row>
    <row r="138" spans="1:80">
      <c r="A138" s="699"/>
      <c r="B138" s="23"/>
      <c r="C138" s="17" t="s">
        <v>14</v>
      </c>
      <c r="D138" s="57"/>
      <c r="E138" s="2"/>
      <c r="F138" s="2"/>
      <c r="G138" s="156"/>
      <c r="H138" s="3"/>
      <c r="I138" s="20"/>
      <c r="J138" s="21"/>
      <c r="K138" s="21"/>
      <c r="L138" s="22"/>
      <c r="M138" s="83"/>
      <c r="N138" s="20"/>
      <c r="O138" s="21"/>
      <c r="P138" s="21"/>
      <c r="Q138" s="22"/>
      <c r="R138" s="34"/>
      <c r="T138" s="57"/>
      <c r="U138" s="2"/>
      <c r="V138" s="2"/>
      <c r="W138" s="199"/>
      <c r="X138" s="198"/>
      <c r="Y138" s="198"/>
      <c r="Z138" s="198"/>
      <c r="AA138" s="282"/>
      <c r="AB138" s="21"/>
      <c r="AC138" s="21"/>
      <c r="AD138" s="21"/>
      <c r="AE138" s="21"/>
      <c r="AF138" s="70"/>
      <c r="AG138" s="20"/>
      <c r="AH138" s="21"/>
      <c r="AI138" s="21"/>
      <c r="AJ138" s="22">
        <f t="shared" si="20"/>
        <v>0</v>
      </c>
      <c r="AK138" s="29"/>
      <c r="AL138" s="19"/>
      <c r="AM138" s="57"/>
      <c r="AN138" s="2"/>
      <c r="AO138" s="2"/>
      <c r="AP138" s="64"/>
      <c r="AQ138" s="69"/>
      <c r="AR138" s="21"/>
      <c r="AS138" s="21"/>
      <c r="AT138" s="21"/>
      <c r="AU138" s="25"/>
      <c r="AV138" s="21"/>
      <c r="AW138" s="22"/>
      <c r="AX138" s="2"/>
      <c r="AY138" s="23"/>
      <c r="AZ138" s="19"/>
      <c r="BA138" s="19"/>
      <c r="BB138" s="243"/>
      <c r="BC138" s="24"/>
    </row>
    <row r="139" spans="1:80">
      <c r="A139" s="699"/>
      <c r="B139" s="23"/>
      <c r="C139" s="17" t="s">
        <v>15</v>
      </c>
      <c r="D139" s="57"/>
      <c r="E139" s="2"/>
      <c r="F139" s="2"/>
      <c r="G139" s="156">
        <f>'[2]Haz-SA'!$P$22</f>
        <v>9197.5</v>
      </c>
      <c r="H139" s="3"/>
      <c r="I139" s="20"/>
      <c r="J139" s="21">
        <f>G139</f>
        <v>9197.5</v>
      </c>
      <c r="K139" s="21"/>
      <c r="L139" s="22"/>
      <c r="M139" s="83"/>
      <c r="N139" s="20"/>
      <c r="O139" s="21"/>
      <c r="P139" s="21"/>
      <c r="Q139" s="22"/>
      <c r="R139" s="34"/>
      <c r="T139" s="57"/>
      <c r="U139" s="2"/>
      <c r="V139" s="2"/>
      <c r="W139" s="199"/>
      <c r="X139" s="198"/>
      <c r="Y139" s="198"/>
      <c r="Z139" s="198"/>
      <c r="AA139" s="282"/>
      <c r="AB139" s="21"/>
      <c r="AC139" s="21"/>
      <c r="AD139" s="21"/>
      <c r="AE139" s="21"/>
      <c r="AF139" s="70"/>
      <c r="AG139" s="20"/>
      <c r="AH139" s="21"/>
      <c r="AI139" s="21"/>
      <c r="AJ139" s="22">
        <f t="shared" si="20"/>
        <v>0</v>
      </c>
      <c r="AK139" s="29"/>
      <c r="AL139" s="19"/>
      <c r="AM139" s="57"/>
      <c r="AN139" s="2"/>
      <c r="AO139" s="2"/>
      <c r="AP139" s="64"/>
      <c r="AQ139" s="69"/>
      <c r="AR139" s="21"/>
      <c r="AS139" s="21"/>
      <c r="AT139" s="21"/>
      <c r="AU139" s="25"/>
      <c r="AV139" s="21"/>
      <c r="AW139" s="22"/>
      <c r="AX139" s="2"/>
      <c r="AY139" s="23"/>
      <c r="AZ139" s="19"/>
      <c r="BA139" s="19"/>
      <c r="BB139" s="243"/>
      <c r="BC139" s="24"/>
    </row>
    <row r="140" spans="1:80" s="106" customFormat="1">
      <c r="A140" s="699"/>
      <c r="B140" s="107" t="s">
        <v>67</v>
      </c>
      <c r="C140" s="108"/>
      <c r="D140" s="109"/>
      <c r="E140" s="110"/>
      <c r="F140" s="110"/>
      <c r="G140" s="124"/>
      <c r="H140" s="125"/>
      <c r="I140" s="112">
        <f>D144*[2]SA!$J$372</f>
        <v>2053.0138999876808</v>
      </c>
      <c r="J140" s="113">
        <f>SUM(J136:J139)</f>
        <v>9197.5</v>
      </c>
      <c r="K140" s="113">
        <f>F144*[2]SA!M$232</f>
        <v>166017.85714285716</v>
      </c>
      <c r="L140" s="114">
        <f>SUM(I140:K140)</f>
        <v>177268.37104284484</v>
      </c>
      <c r="M140" s="110"/>
      <c r="N140" s="112">
        <f>I140-AU140</f>
        <v>2053.0138999876808</v>
      </c>
      <c r="O140" s="113">
        <f>J140-AV140</f>
        <v>9197.5</v>
      </c>
      <c r="P140" s="113">
        <f>K140-AW140</f>
        <v>166017.85714285716</v>
      </c>
      <c r="Q140" s="114">
        <f>SUM(N140:P140)</f>
        <v>177268.37104284484</v>
      </c>
      <c r="R140" s="115">
        <f>Q140/[2]Popn!$F$41*1000</f>
        <v>110.25247753490737</v>
      </c>
      <c r="T140" s="109"/>
      <c r="U140" s="110"/>
      <c r="V140" s="110"/>
      <c r="W140" s="203">
        <f>SUM(W136:W139)</f>
        <v>0</v>
      </c>
      <c r="X140" s="130"/>
      <c r="Y140" s="130"/>
      <c r="Z140" s="130"/>
      <c r="AA140" s="284"/>
      <c r="AB140" s="113"/>
      <c r="AC140" s="113"/>
      <c r="AD140" s="113"/>
      <c r="AE140" s="113"/>
      <c r="AF140" s="117"/>
      <c r="AG140" s="112"/>
      <c r="AH140" s="113"/>
      <c r="AI140" s="113"/>
      <c r="AJ140" s="114">
        <f t="shared" si="20"/>
        <v>0</v>
      </c>
      <c r="AK140" s="118">
        <f>SUM(AK136:AK139)</f>
        <v>0</v>
      </c>
      <c r="AL140" s="119"/>
      <c r="AM140" s="109"/>
      <c r="AN140" s="110"/>
      <c r="AO140" s="110"/>
      <c r="AP140" s="124"/>
      <c r="AQ140" s="126"/>
      <c r="AR140" s="113"/>
      <c r="AS140" s="113"/>
      <c r="AT140" s="113"/>
      <c r="AU140" s="120"/>
      <c r="AV140" s="113"/>
      <c r="AW140" s="114"/>
      <c r="AX140" s="110"/>
      <c r="AY140" s="127"/>
      <c r="AZ140" s="119"/>
      <c r="BA140" s="119"/>
      <c r="BB140" s="243"/>
      <c r="BC140" s="121"/>
      <c r="BG140" s="144"/>
      <c r="BU140" s="6"/>
      <c r="BV140" s="6"/>
      <c r="BW140" s="6"/>
      <c r="BX140" s="6"/>
      <c r="BY140" s="6"/>
      <c r="BZ140" s="6"/>
      <c r="CA140" s="6"/>
      <c r="CB140" s="6"/>
    </row>
    <row r="141" spans="1:80" s="106" customFormat="1" ht="13.5" thickBot="1">
      <c r="A141" s="699"/>
      <c r="B141" s="131" t="s">
        <v>37</v>
      </c>
      <c r="C141" s="132" t="s">
        <v>1</v>
      </c>
      <c r="D141" s="109"/>
      <c r="E141" s="110"/>
      <c r="F141" s="110"/>
      <c r="G141" s="111"/>
      <c r="H141" s="130">
        <f>'[2]Fly ash'!$F$229</f>
        <v>0</v>
      </c>
      <c r="I141" s="112"/>
      <c r="J141" s="113"/>
      <c r="K141" s="113"/>
      <c r="L141" s="114"/>
      <c r="M141" s="110"/>
      <c r="N141" s="127"/>
      <c r="O141" s="119"/>
      <c r="P141" s="119"/>
      <c r="Q141" s="113">
        <f>H141</f>
        <v>0</v>
      </c>
      <c r="R141" s="115">
        <f>Q141/[2]Popn!$F$41*1000</f>
        <v>0</v>
      </c>
      <c r="T141" s="109"/>
      <c r="U141" s="110"/>
      <c r="V141" s="110"/>
      <c r="W141" s="203">
        <f>[2]SA!N66</f>
        <v>223000</v>
      </c>
      <c r="X141" s="130"/>
      <c r="Y141" s="130"/>
      <c r="Z141" s="130"/>
      <c r="AA141" s="285"/>
      <c r="AB141" s="113"/>
      <c r="AC141" s="113"/>
      <c r="AD141" s="113"/>
      <c r="AE141" s="113"/>
      <c r="AF141" s="117"/>
      <c r="AG141" s="112"/>
      <c r="AH141" s="113"/>
      <c r="AI141" s="113"/>
      <c r="AJ141" s="114">
        <f t="shared" si="20"/>
        <v>223000</v>
      </c>
      <c r="AK141" s="115">
        <f>AJ141/[2]Popn!$F$41*1000</f>
        <v>138.69537101089492</v>
      </c>
      <c r="AL141" s="119"/>
      <c r="AM141" s="109"/>
      <c r="AN141" s="110"/>
      <c r="AO141" s="110"/>
      <c r="AP141" s="111"/>
      <c r="AQ141" s="117"/>
      <c r="AR141" s="113"/>
      <c r="AS141" s="113"/>
      <c r="AT141" s="113"/>
      <c r="AU141" s="120"/>
      <c r="AV141" s="113"/>
      <c r="AW141" s="114"/>
      <c r="AX141" s="110"/>
      <c r="AY141" s="127"/>
      <c r="AZ141" s="119"/>
      <c r="BA141" s="119"/>
      <c r="BB141" s="243"/>
      <c r="BC141" s="121"/>
      <c r="BG141" s="144"/>
    </row>
    <row r="142" spans="1:80"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243"/>
      <c r="BC142" s="24"/>
      <c r="BU142" s="106"/>
      <c r="BV142" s="106"/>
      <c r="BW142" s="106"/>
      <c r="BX142" s="106"/>
      <c r="BY142" s="106"/>
      <c r="BZ142" s="106"/>
      <c r="CA142" s="106"/>
      <c r="CB142" s="106"/>
    </row>
    <row r="143" spans="1:80" ht="13.5" thickBot="1">
      <c r="C143" s="39" t="s">
        <v>38</v>
      </c>
      <c r="D143" s="58"/>
      <c r="E143" s="59"/>
      <c r="F143" s="2"/>
      <c r="G143" s="65"/>
      <c r="H143" s="2"/>
      <c r="I143" s="20"/>
      <c r="J143" s="21"/>
      <c r="K143" s="21"/>
      <c r="L143" s="22"/>
      <c r="M143" s="2"/>
      <c r="N143" s="23"/>
      <c r="O143" s="19"/>
      <c r="P143" s="19"/>
      <c r="Q143" s="19"/>
      <c r="R143" s="24"/>
      <c r="T143" s="58"/>
      <c r="U143" s="59"/>
      <c r="V143" s="2"/>
      <c r="W143" s="65"/>
      <c r="X143" s="198"/>
      <c r="Y143" s="198"/>
      <c r="Z143" s="198"/>
      <c r="AA143" s="274"/>
      <c r="AB143" s="21"/>
      <c r="AC143" s="21"/>
      <c r="AD143" s="21"/>
      <c r="AE143" s="21"/>
      <c r="AF143" s="70"/>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243"/>
      <c r="BC143" s="24"/>
    </row>
    <row r="144" spans="1:80" ht="13.5" thickBot="1">
      <c r="C144" s="135" t="s">
        <v>92</v>
      </c>
      <c r="D144" s="291">
        <f>$G144/100*[2]SA!$I$131</f>
        <v>371880</v>
      </c>
      <c r="E144" s="291">
        <f>$G144/100*[2]SA!$I$132</f>
        <v>196270</v>
      </c>
      <c r="F144" s="291">
        <f>$G144/100*[2]SA!$I$133</f>
        <v>464850</v>
      </c>
      <c r="G144" s="66">
        <f>[2]SA!$N$23</f>
        <v>1033000</v>
      </c>
      <c r="H144" s="62"/>
      <c r="I144" s="41">
        <f>SUM(I140,I135,I132,I131,I121,I116,I110,I106)</f>
        <v>371880</v>
      </c>
      <c r="J144" s="218">
        <f>SUM(J140,J135,J132,J131,J121,J116,J110,J106)</f>
        <v>196270.00000000003</v>
      </c>
      <c r="K144" s="218">
        <f>SUM(K140,K135,K132,K131,K121,K116,K110,K106)</f>
        <v>464790.89416604344</v>
      </c>
      <c r="L144" s="42">
        <f>SUM(L140,L135,L132,L131,L121,L116,L110,L106)</f>
        <v>1032940.8941660433</v>
      </c>
      <c r="M144" s="43"/>
      <c r="N144" s="44">
        <f>SUM(N140,N135,N132,N131,N121,N116,N110,N106)</f>
        <v>330697.34232207324</v>
      </c>
      <c r="O144" s="45">
        <f>SUM(O140,O135,O132,O131,O121,O116,O110,O106)</f>
        <v>176100.3057294137</v>
      </c>
      <c r="P144" s="45">
        <f>SUM(P140,P135,P132,P131,P121,P116,P110,P106)</f>
        <v>442432.7109987053</v>
      </c>
      <c r="Q144" s="133">
        <f>SUM(Q140,Q135,Q132,Q131,Q121,Q116,Q110,Q106,Q143)</f>
        <v>949230.35905019217</v>
      </c>
      <c r="R144" s="27">
        <f>SUM(R140,R135,R132,R131,R121,R116,R110,R106)</f>
        <v>590.37603956623934</v>
      </c>
      <c r="T144" s="60"/>
      <c r="U144" s="706"/>
      <c r="V144" s="707"/>
      <c r="W144" s="66"/>
      <c r="X144" s="362"/>
      <c r="Y144" s="362"/>
      <c r="Z144" s="362"/>
      <c r="AA144" s="287"/>
      <c r="AB144" s="45"/>
      <c r="AC144" s="45"/>
      <c r="AD144" s="45"/>
      <c r="AE144" s="45"/>
      <c r="AF144" s="85"/>
      <c r="AG144" s="44">
        <f>$AJ$144*[2]SA!L106</f>
        <v>398495.17255564395</v>
      </c>
      <c r="AH144" s="45">
        <f>$AJ$144*[2]SA!M106</f>
        <v>565664.2449428871</v>
      </c>
      <c r="AI144" s="45">
        <f>$AJ$144*[2]SA!N106</f>
        <v>1345212.5825014692</v>
      </c>
      <c r="AJ144" s="354">
        <f>SUM(AJ140,AJ135,AJ132,AJ131,AJ121,AJ116,AJ110,AJ106,AJ143)</f>
        <v>2309372</v>
      </c>
      <c r="AK144" s="27">
        <f>SUM(AK140,AK135,AK132,AK131,AK121,AK116,AK110,AK106,AK143)</f>
        <v>1427.7500516609157</v>
      </c>
      <c r="AL144" s="19"/>
      <c r="AM144" s="60"/>
      <c r="AN144" s="706"/>
      <c r="AO144" s="707"/>
      <c r="AP144" s="66"/>
      <c r="AQ144" s="71"/>
      <c r="AR144" s="43"/>
      <c r="AS144" s="46">
        <f>SUM(AS101:AS143)</f>
        <v>1.0059353915987981</v>
      </c>
      <c r="AT144" s="214">
        <f>SUM(AT140,AT135,AT132,AT131,AT121,AT116,AT110,AT106)</f>
        <v>83710.535115851162</v>
      </c>
      <c r="AU144" s="47"/>
      <c r="AV144" s="45"/>
      <c r="AW144" s="214"/>
      <c r="AX144" s="43"/>
      <c r="AY144" s="44">
        <f>SUM(AY140,AY135,AY132,AY131,AY121,AY116,AY110,AY106)</f>
        <v>41182.657677926742</v>
      </c>
      <c r="AZ144" s="45">
        <f>SUM(AZ140,AZ135,AZ132,AZ131,AZ121,AZ116,AZ110,AZ106)</f>
        <v>75169.694270586318</v>
      </c>
      <c r="BA144" s="45">
        <f>SUM(BA140,BA135,BA132,BA131,BA121,BA116,BA110,BA106)</f>
        <v>22358.183167338109</v>
      </c>
      <c r="BB144" s="354">
        <f>SUM(BB140,BB135,BB132,BB131,BB121,BB116,BB110,BB106,BB143)</f>
        <v>138710.53511585115</v>
      </c>
      <c r="BC144" s="27">
        <f>SUM(BC140,BC135,BC132,BC131,BC121,BC116,BC110,BC106,BC143)</f>
        <v>86.271341394675972</v>
      </c>
    </row>
    <row r="145" spans="1:80" ht="13.5" thickBot="1">
      <c r="C145" s="136" t="s">
        <v>65</v>
      </c>
      <c r="Q145" s="49">
        <f>Q144+Q141</f>
        <v>949230.35905019217</v>
      </c>
      <c r="R145" s="216">
        <f>R144+R141</f>
        <v>590.37603956623934</v>
      </c>
      <c r="AJ145" s="353">
        <f>AJ144+AJ141</f>
        <v>2532372</v>
      </c>
      <c r="AK145" s="216">
        <f>AK144+AK141</f>
        <v>1566.4454226718105</v>
      </c>
      <c r="BB145" s="353">
        <f>BB144+BB141</f>
        <v>138710.53511585115</v>
      </c>
      <c r="BC145" s="216">
        <f>BC144+BC141</f>
        <v>86.271341394675972</v>
      </c>
    </row>
    <row r="147" spans="1:80" ht="13.5" thickBot="1">
      <c r="C147" s="89"/>
      <c r="AT147" s="215"/>
      <c r="AU147" s="215"/>
      <c r="AV147" s="215"/>
      <c r="AW147" s="215"/>
      <c r="AY147" s="215"/>
      <c r="AZ147" s="215"/>
      <c r="BA147" s="215"/>
      <c r="BB147" s="215"/>
    </row>
    <row r="148" spans="1:80">
      <c r="A148" s="699" t="s">
        <v>83</v>
      </c>
      <c r="B148" s="16" t="s">
        <v>3</v>
      </c>
      <c r="C148" s="148" t="s">
        <v>16</v>
      </c>
      <c r="D148" s="55"/>
      <c r="E148" s="56"/>
      <c r="F148" s="56"/>
      <c r="G148" s="149"/>
      <c r="H148" s="150"/>
      <c r="I148" s="151"/>
      <c r="J148" s="26"/>
      <c r="K148" s="26"/>
      <c r="L148" s="133"/>
      <c r="M148" s="56"/>
      <c r="N148" s="16"/>
      <c r="O148" s="18"/>
      <c r="P148" s="18"/>
      <c r="Q148" s="244"/>
      <c r="R148" s="28"/>
      <c r="S148" s="152"/>
      <c r="T148" s="55"/>
      <c r="U148" s="56"/>
      <c r="V148" s="56"/>
      <c r="W148" s="213">
        <f>[2]SA!M40</f>
        <v>83640</v>
      </c>
      <c r="X148" s="197"/>
      <c r="Y148" s="197"/>
      <c r="Z148" s="197"/>
      <c r="AA148" s="290"/>
      <c r="AB148" s="26"/>
      <c r="AC148" s="26"/>
      <c r="AD148" s="26"/>
      <c r="AE148" s="26"/>
      <c r="AF148" s="84"/>
      <c r="AG148" s="151"/>
      <c r="AH148" s="26"/>
      <c r="AI148" s="26"/>
      <c r="AJ148" s="133">
        <f>W148</f>
        <v>83640</v>
      </c>
      <c r="AK148" s="27">
        <f>AJ148/[2]Popn!$F$40*1000</f>
        <v>53.027274747408789</v>
      </c>
      <c r="AL148" s="18"/>
      <c r="AM148" s="55"/>
      <c r="AN148" s="56"/>
      <c r="AO148" s="56"/>
      <c r="AP148" s="149"/>
      <c r="AQ148" s="153"/>
      <c r="AR148" s="26"/>
      <c r="AS148" s="26"/>
      <c r="AT148" s="21"/>
      <c r="AU148" s="25"/>
      <c r="AV148" s="21"/>
      <c r="AW148" s="22"/>
      <c r="AX148" s="56"/>
      <c r="AY148" s="23"/>
      <c r="AZ148" s="18"/>
      <c r="BA148" s="19"/>
      <c r="BB148" s="19"/>
      <c r="BC148" s="28"/>
      <c r="BD148" s="571"/>
      <c r="BH148" s="700" t="s">
        <v>86</v>
      </c>
      <c r="BI148" s="701"/>
      <c r="BJ148" s="701"/>
      <c r="BK148" s="701"/>
      <c r="BL148" s="702"/>
      <c r="BM148" s="700" t="s">
        <v>87</v>
      </c>
      <c r="BN148" s="702"/>
      <c r="BP148" s="8"/>
      <c r="BQ148" s="8"/>
      <c r="BR148" s="8"/>
      <c r="BS148" s="8"/>
      <c r="BT148" s="8"/>
    </row>
    <row r="149" spans="1:80">
      <c r="A149" s="699"/>
      <c r="B149" s="23"/>
      <c r="C149" s="17" t="s">
        <v>17</v>
      </c>
      <c r="D149" s="57"/>
      <c r="E149" s="2"/>
      <c r="F149" s="2"/>
      <c r="G149" s="63"/>
      <c r="H149" s="5"/>
      <c r="I149" s="20"/>
      <c r="J149" s="21"/>
      <c r="K149" s="21"/>
      <c r="L149" s="22"/>
      <c r="M149" s="2"/>
      <c r="N149" s="23"/>
      <c r="O149" s="19"/>
      <c r="P149" s="19"/>
      <c r="Q149" s="19"/>
      <c r="R149" s="24"/>
      <c r="T149" s="57"/>
      <c r="U149" s="2"/>
      <c r="V149" s="2"/>
      <c r="W149" s="199">
        <f>[2]SA!M41</f>
        <v>43962</v>
      </c>
      <c r="X149" s="198"/>
      <c r="Y149" s="198"/>
      <c r="Z149" s="198"/>
      <c r="AA149" s="272"/>
      <c r="AB149" s="21"/>
      <c r="AC149" s="21"/>
      <c r="AD149" s="21"/>
      <c r="AE149" s="21"/>
      <c r="AF149" s="70"/>
      <c r="AG149" s="20"/>
      <c r="AH149" s="21"/>
      <c r="AI149" s="21"/>
      <c r="AJ149" s="22">
        <f t="shared" ref="AJ149:AJ188" si="27">W149</f>
        <v>43962</v>
      </c>
      <c r="AK149" s="29">
        <f>AJ149/[2]Popn!$F$40*1000</f>
        <v>27.871652946503886</v>
      </c>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8"/>
    </row>
    <row r="150" spans="1:80">
      <c r="A150" s="699"/>
      <c r="B150" s="23"/>
      <c r="C150" s="17" t="s">
        <v>18</v>
      </c>
      <c r="D150" s="57"/>
      <c r="E150" s="2"/>
      <c r="F150" s="2"/>
      <c r="G150" s="63"/>
      <c r="H150" s="5"/>
      <c r="I150" s="20"/>
      <c r="J150" s="21"/>
      <c r="K150" s="21"/>
      <c r="L150" s="22"/>
      <c r="M150" s="2"/>
      <c r="N150" s="23"/>
      <c r="O150" s="19"/>
      <c r="P150" s="19"/>
      <c r="Q150" s="19"/>
      <c r="R150" s="24"/>
      <c r="T150" s="57"/>
      <c r="U150" s="2"/>
      <c r="V150" s="2"/>
      <c r="W150" s="199">
        <f>[2]SA!M42</f>
        <v>793710</v>
      </c>
      <c r="X150" s="198"/>
      <c r="Y150" s="198"/>
      <c r="Z150" s="198"/>
      <c r="AA150" s="272"/>
      <c r="AB150" s="21"/>
      <c r="AC150" s="21"/>
      <c r="AD150" s="21"/>
      <c r="AE150" s="21"/>
      <c r="AF150" s="70"/>
      <c r="AG150" s="20"/>
      <c r="AH150" s="21"/>
      <c r="AI150" s="21"/>
      <c r="AJ150" s="22">
        <f t="shared" si="27"/>
        <v>793710</v>
      </c>
      <c r="AK150" s="29">
        <f>AJ150/[2]Popn!$F$40*1000</f>
        <v>503.20753514784587</v>
      </c>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7"/>
    </row>
    <row r="151" spans="1:80">
      <c r="A151" s="699"/>
      <c r="B151" s="23"/>
      <c r="C151" s="17" t="s">
        <v>182</v>
      </c>
      <c r="D151" s="57"/>
      <c r="E151" s="2"/>
      <c r="F151" s="2"/>
      <c r="G151" s="63"/>
      <c r="H151" s="2"/>
      <c r="I151" s="20"/>
      <c r="J151" s="21"/>
      <c r="K151" s="21"/>
      <c r="L151" s="22"/>
      <c r="M151" s="2"/>
      <c r="N151" s="23"/>
      <c r="O151" s="19"/>
      <c r="P151" s="19"/>
      <c r="Q151" s="19"/>
      <c r="R151" s="24"/>
      <c r="T151" s="57"/>
      <c r="U151" s="2"/>
      <c r="V151" s="2"/>
      <c r="W151" s="199">
        <f>[2]SA!M43</f>
        <v>2000</v>
      </c>
      <c r="X151" s="198"/>
      <c r="Y151" s="198"/>
      <c r="Z151" s="198"/>
      <c r="AA151" s="274"/>
      <c r="AB151" s="21"/>
      <c r="AC151" s="21"/>
      <c r="AD151" s="21"/>
      <c r="AE151" s="21"/>
      <c r="AF151" s="70"/>
      <c r="AG151" s="20"/>
      <c r="AH151" s="21"/>
      <c r="AI151" s="21"/>
      <c r="AJ151" s="22">
        <f t="shared" si="27"/>
        <v>2000</v>
      </c>
      <c r="AK151" s="29">
        <f>AJ151/[2]Popn!$F$40*1000</f>
        <v>1.2679883966381824</v>
      </c>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348.9464702207253</v>
      </c>
      <c r="BI151" s="52">
        <f>O191/1000</f>
        <v>187.17534452060966</v>
      </c>
      <c r="BJ151" s="52">
        <f>P191/1000</f>
        <v>473.18435804056111</v>
      </c>
      <c r="BK151" s="53">
        <f>Q191/1000</f>
        <v>1009.3061727818958</v>
      </c>
      <c r="BL151" s="54">
        <f>R191/1000</f>
        <v>0.63989425787136811</v>
      </c>
      <c r="BM151" s="51">
        <f>Q192/1000</f>
        <v>1009.3061727818958</v>
      </c>
      <c r="BN151" s="54">
        <f>R192/1000</f>
        <v>0.63989425787136811</v>
      </c>
      <c r="BP151" s="30"/>
      <c r="BQ151" s="30"/>
      <c r="BR151" s="30"/>
      <c r="BS151" s="31"/>
      <c r="BT151" s="31"/>
      <c r="BU151" s="32"/>
    </row>
    <row r="152" spans="1:80">
      <c r="A152" s="699"/>
      <c r="B152" s="23"/>
      <c r="C152" s="17" t="s">
        <v>183</v>
      </c>
      <c r="D152" s="57"/>
      <c r="E152" s="2"/>
      <c r="F152" s="2"/>
      <c r="G152" s="63"/>
      <c r="H152" s="2"/>
      <c r="I152" s="20"/>
      <c r="J152" s="21"/>
      <c r="K152" s="21"/>
      <c r="L152" s="22"/>
      <c r="M152" s="2"/>
      <c r="N152" s="23"/>
      <c r="O152" s="19"/>
      <c r="P152" s="19"/>
      <c r="Q152" s="19"/>
      <c r="R152" s="33"/>
      <c r="T152" s="57"/>
      <c r="U152" s="2"/>
      <c r="V152" s="2"/>
      <c r="W152" s="199">
        <f>[2]SA!M44</f>
        <v>0</v>
      </c>
      <c r="X152" s="198"/>
      <c r="Y152" s="198"/>
      <c r="Z152" s="198"/>
      <c r="AA152" s="274"/>
      <c r="AB152" s="21"/>
      <c r="AC152" s="21"/>
      <c r="AD152" s="21"/>
      <c r="AE152" s="21"/>
      <c r="AF152" s="70"/>
      <c r="AG152" s="20"/>
      <c r="AH152" s="21"/>
      <c r="AI152" s="21"/>
      <c r="AJ152" s="22">
        <f t="shared" si="27"/>
        <v>0</v>
      </c>
      <c r="AK152" s="29">
        <f>AJ152/[2]Popn!$F$40*1000</f>
        <v>0</v>
      </c>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409.8408408487004</v>
      </c>
      <c r="BI152" s="52">
        <f>AH191/1000</f>
        <v>611.96701508258388</v>
      </c>
      <c r="BJ152" s="52">
        <f>AI191/1000</f>
        <v>1088.1551440687156</v>
      </c>
      <c r="BK152" s="53">
        <f>AJ191/1000</f>
        <v>2109.9630000000002</v>
      </c>
      <c r="BL152" s="54">
        <f>AK191/1000</f>
        <v>1.3270024786003183</v>
      </c>
      <c r="BM152" s="51">
        <f>AJ192/1000</f>
        <v>2370.8760000000002</v>
      </c>
      <c r="BN152" s="54">
        <f>AK192/1000</f>
        <v>1.4924198068663472</v>
      </c>
      <c r="BU152" s="32"/>
    </row>
    <row r="153" spans="1:80" s="106" customFormat="1">
      <c r="A153" s="699"/>
      <c r="B153" s="107" t="s">
        <v>67</v>
      </c>
      <c r="C153" s="108"/>
      <c r="D153" s="109"/>
      <c r="E153" s="110"/>
      <c r="F153" s="110"/>
      <c r="G153" s="111"/>
      <c r="H153" s="110"/>
      <c r="I153" s="112">
        <f>D191*[2]SA!$I$360</f>
        <v>10935.760949969759</v>
      </c>
      <c r="J153" s="113">
        <f>(E191-G186)*[2]SA!L$225</f>
        <v>10496.475579781965</v>
      </c>
      <c r="K153" s="113">
        <f>F191*[2]SA!M$225</f>
        <v>135823.42931937173</v>
      </c>
      <c r="L153" s="114">
        <f>SUM(I153:K153)</f>
        <v>157255.66584912344</v>
      </c>
      <c r="M153" s="110"/>
      <c r="N153" s="112">
        <f>I153-AU153</f>
        <v>10935.760949969759</v>
      </c>
      <c r="O153" s="113">
        <f>J153-AV153</f>
        <v>10496.475579781965</v>
      </c>
      <c r="P153" s="113">
        <f>K153-AW153</f>
        <v>135823.42931937173</v>
      </c>
      <c r="Q153" s="114">
        <f>SUM(N153:P153)</f>
        <v>157255.66584912344</v>
      </c>
      <c r="R153" s="115">
        <f>Q153/[2]Popn!$F$40*1000</f>
        <v>99.699179801149896</v>
      </c>
      <c r="T153" s="109"/>
      <c r="U153" s="110"/>
      <c r="V153" s="110"/>
      <c r="W153" s="203">
        <f>SUM(W148:W152)</f>
        <v>923312</v>
      </c>
      <c r="X153" s="130"/>
      <c r="Y153" s="130"/>
      <c r="Z153" s="130"/>
      <c r="AA153" s="276"/>
      <c r="AB153" s="113"/>
      <c r="AC153" s="113"/>
      <c r="AD153" s="113"/>
      <c r="AE153" s="113"/>
      <c r="AF153" s="117"/>
      <c r="AG153" s="112"/>
      <c r="AH153" s="113"/>
      <c r="AI153" s="113"/>
      <c r="AJ153" s="114">
        <f t="shared" si="27"/>
        <v>923312</v>
      </c>
      <c r="AK153" s="118">
        <f>SUM(AK148:AK152)</f>
        <v>585.37445123839677</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52.093529779274704</v>
      </c>
      <c r="BI153" s="52">
        <f>AZ191/1000</f>
        <v>24.484655479390362</v>
      </c>
      <c r="BJ153" s="52">
        <f>BA191/1000</f>
        <v>28.05190149571423</v>
      </c>
      <c r="BK153" s="53">
        <f>BB191/1000</f>
        <v>104.63008675437931</v>
      </c>
      <c r="BL153" s="54">
        <f>BC191/1000</f>
        <v>6.633486797189965E-2</v>
      </c>
      <c r="BM153" s="51">
        <f>BB192/1000</f>
        <v>104.63008675437931</v>
      </c>
      <c r="BN153" s="54">
        <f>BC192/1000</f>
        <v>6.633486797189965E-2</v>
      </c>
      <c r="BO153" s="6"/>
      <c r="BU153" s="6"/>
      <c r="BV153" s="6"/>
      <c r="BW153" s="6"/>
      <c r="BX153" s="6"/>
      <c r="BY153" s="6"/>
      <c r="BZ153" s="6"/>
      <c r="CA153" s="6"/>
      <c r="CB153" s="6"/>
    </row>
    <row r="154" spans="1:80">
      <c r="A154" s="699"/>
      <c r="B154" s="23" t="s">
        <v>4</v>
      </c>
      <c r="C154" s="17" t="s">
        <v>19</v>
      </c>
      <c r="D154" s="57"/>
      <c r="E154" s="2"/>
      <c r="F154" s="2"/>
      <c r="G154" s="63"/>
      <c r="H154" s="2"/>
      <c r="I154" s="20"/>
      <c r="J154" s="21"/>
      <c r="K154" s="21"/>
      <c r="L154" s="22"/>
      <c r="M154" s="2"/>
      <c r="N154" s="23"/>
      <c r="O154" s="19"/>
      <c r="P154" s="19"/>
      <c r="Q154" s="19"/>
      <c r="R154" s="33"/>
      <c r="T154" s="57"/>
      <c r="U154" s="2"/>
      <c r="V154" s="2"/>
      <c r="W154" s="199">
        <f>[2]SA!M45</f>
        <v>323850</v>
      </c>
      <c r="X154" s="198"/>
      <c r="Y154" s="198"/>
      <c r="Z154" s="198"/>
      <c r="AA154" s="274"/>
      <c r="AB154" s="21"/>
      <c r="AC154" s="21"/>
      <c r="AD154" s="21"/>
      <c r="AE154" s="21"/>
      <c r="AF154" s="70"/>
      <c r="AG154" s="20"/>
      <c r="AH154" s="21"/>
      <c r="AI154" s="21"/>
      <c r="AJ154" s="22">
        <f t="shared" si="27"/>
        <v>323850</v>
      </c>
      <c r="AK154" s="29">
        <f>AJ154/[2]Popn!$F$40*1000</f>
        <v>205.31902112563768</v>
      </c>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28">SUM(BH152:BH153)/BH155</f>
        <v>0.56966985450599139</v>
      </c>
      <c r="BI154" s="86">
        <f t="shared" si="28"/>
        <v>0.77274258724764888</v>
      </c>
      <c r="BJ154" s="86">
        <f t="shared" si="28"/>
        <v>0.70228582024081398</v>
      </c>
      <c r="BK154" s="87">
        <f t="shared" si="28"/>
        <v>0.68692999019855405</v>
      </c>
      <c r="BL154" s="87">
        <f t="shared" si="28"/>
        <v>0.68528216044208023</v>
      </c>
      <c r="BM154" s="88">
        <f t="shared" si="28"/>
        <v>0.710370000558881</v>
      </c>
      <c r="BN154" s="87">
        <f t="shared" si="28"/>
        <v>0.70896023992208601</v>
      </c>
      <c r="BU154" s="106"/>
      <c r="BV154" s="106"/>
      <c r="BW154" s="106"/>
      <c r="BX154" s="106"/>
      <c r="BY154" s="106"/>
      <c r="BZ154" s="106"/>
      <c r="CA154" s="106"/>
      <c r="CB154" s="106"/>
    </row>
    <row r="155" spans="1:80">
      <c r="A155" s="699"/>
      <c r="B155" s="23"/>
      <c r="C155" s="17" t="s">
        <v>20</v>
      </c>
      <c r="D155" s="57"/>
      <c r="E155" s="2"/>
      <c r="F155" s="2"/>
      <c r="G155" s="63"/>
      <c r="H155" s="2"/>
      <c r="I155" s="20"/>
      <c r="J155" s="21"/>
      <c r="K155" s="21"/>
      <c r="L155" s="22"/>
      <c r="M155" s="2"/>
      <c r="N155" s="23"/>
      <c r="O155" s="19"/>
      <c r="P155" s="19"/>
      <c r="Q155" s="19"/>
      <c r="R155" s="33"/>
      <c r="T155" s="57"/>
      <c r="U155" s="2"/>
      <c r="V155" s="2"/>
      <c r="W155" s="199">
        <f>[2]SA!M46</f>
        <v>20845</v>
      </c>
      <c r="X155" s="198"/>
      <c r="Y155" s="198"/>
      <c r="Z155" s="198"/>
      <c r="AA155" s="274"/>
      <c r="AB155" s="21"/>
      <c r="AC155" s="21"/>
      <c r="AD155" s="21"/>
      <c r="AE155" s="21"/>
      <c r="AF155" s="70"/>
      <c r="AG155" s="20"/>
      <c r="AH155" s="21"/>
      <c r="AI155" s="21"/>
      <c r="AJ155" s="22">
        <f t="shared" si="27"/>
        <v>20845</v>
      </c>
      <c r="AK155" s="29">
        <f>AJ155/[2]Popn!$F$40*1000</f>
        <v>13.215609063961455</v>
      </c>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29">SUM(BH151:BH153)</f>
        <v>810.88084084870036</v>
      </c>
      <c r="BI155" s="52">
        <f t="shared" si="29"/>
        <v>823.62701508258385</v>
      </c>
      <c r="BJ155" s="52">
        <f t="shared" si="29"/>
        <v>1589.391403604991</v>
      </c>
      <c r="BK155" s="74">
        <f t="shared" si="29"/>
        <v>3223.8992595362752</v>
      </c>
      <c r="BL155" s="76">
        <f t="shared" si="29"/>
        <v>2.0332316044435861</v>
      </c>
      <c r="BM155" s="81">
        <f t="shared" si="29"/>
        <v>3484.8122595362752</v>
      </c>
      <c r="BN155" s="76">
        <f t="shared" si="29"/>
        <v>2.1986489327096148</v>
      </c>
    </row>
    <row r="156" spans="1:80">
      <c r="A156" s="699"/>
      <c r="B156" s="23"/>
      <c r="C156" s="17" t="s">
        <v>21</v>
      </c>
      <c r="D156" s="57"/>
      <c r="E156" s="2"/>
      <c r="F156" s="2"/>
      <c r="G156" s="63"/>
      <c r="H156" s="2"/>
      <c r="I156" s="20"/>
      <c r="J156" s="21"/>
      <c r="K156" s="21"/>
      <c r="L156" s="22"/>
      <c r="M156" s="2"/>
      <c r="N156" s="23"/>
      <c r="O156" s="19"/>
      <c r="P156" s="19"/>
      <c r="Q156" s="19"/>
      <c r="R156" s="33"/>
      <c r="T156" s="57"/>
      <c r="U156" s="2"/>
      <c r="V156" s="2"/>
      <c r="W156" s="199">
        <f>[2]SA!M47</f>
        <v>24300</v>
      </c>
      <c r="X156" s="198"/>
      <c r="Y156" s="198"/>
      <c r="Z156" s="198"/>
      <c r="AA156" s="274"/>
      <c r="AB156" s="21"/>
      <c r="AC156" s="21"/>
      <c r="AD156" s="21"/>
      <c r="AE156" s="21"/>
      <c r="AF156" s="70"/>
      <c r="AG156" s="20"/>
      <c r="AH156" s="21"/>
      <c r="AI156" s="21"/>
      <c r="AJ156" s="22">
        <f t="shared" si="27"/>
        <v>24300</v>
      </c>
      <c r="AK156" s="29">
        <f>AJ156/[2]Popn!$F$40*1000</f>
        <v>15.406059019153917</v>
      </c>
      <c r="AL156" s="19"/>
      <c r="AM156" s="57"/>
      <c r="AN156" s="2"/>
      <c r="AO156" s="2"/>
      <c r="AP156" s="63"/>
      <c r="AQ156" s="68"/>
      <c r="AR156" s="21"/>
      <c r="AS156" s="21"/>
      <c r="AT156" s="21"/>
      <c r="AU156" s="25"/>
      <c r="AV156" s="21"/>
      <c r="AW156" s="22"/>
      <c r="AX156" s="2"/>
      <c r="AY156" s="23"/>
      <c r="AZ156" s="19"/>
      <c r="BA156" s="19"/>
      <c r="BB156" s="19"/>
      <c r="BC156" s="24"/>
      <c r="BD156" s="30"/>
    </row>
    <row r="157" spans="1:80" s="106" customFormat="1">
      <c r="A157" s="699"/>
      <c r="B157" s="107" t="s">
        <v>67</v>
      </c>
      <c r="C157" s="108"/>
      <c r="D157" s="109"/>
      <c r="E157" s="110"/>
      <c r="F157" s="110"/>
      <c r="G157" s="111"/>
      <c r="H157" s="110"/>
      <c r="I157" s="112">
        <f>D191*[2]SA!$I$361</f>
        <v>18471.752086705303</v>
      </c>
      <c r="J157" s="113">
        <f>(E191-G186)*[2]SA!L$226</f>
        <v>3898.3823912564703</v>
      </c>
      <c r="K157" s="113">
        <f>F191*[2]SA!M$226</f>
        <v>10185.351159311893</v>
      </c>
      <c r="L157" s="114">
        <f>SUM(I157:K157)</f>
        <v>32555.485637273665</v>
      </c>
      <c r="M157" s="110"/>
      <c r="N157" s="112">
        <f>I157-AU157</f>
        <v>18471.752086705303</v>
      </c>
      <c r="O157" s="113">
        <f>J157-AV157</f>
        <v>3898.3823912564703</v>
      </c>
      <c r="P157" s="113">
        <f>K157-AW157</f>
        <v>10185.351159311893</v>
      </c>
      <c r="Q157" s="114">
        <f>SUM(N157:P157)</f>
        <v>32555.485637273665</v>
      </c>
      <c r="R157" s="115">
        <f>Q157/[2]Popn!$F$40*1000</f>
        <v>20.639989017492006</v>
      </c>
      <c r="T157" s="109"/>
      <c r="U157" s="110"/>
      <c r="V157" s="110"/>
      <c r="W157" s="203">
        <f>SUM(W154:W156)</f>
        <v>368995</v>
      </c>
      <c r="X157" s="130"/>
      <c r="Y157" s="130"/>
      <c r="Z157" s="130"/>
      <c r="AA157" s="276"/>
      <c r="AB157" s="113"/>
      <c r="AC157" s="113"/>
      <c r="AD157" s="113"/>
      <c r="AE157" s="113"/>
      <c r="AF157" s="117"/>
      <c r="AG157" s="112"/>
      <c r="AH157" s="113"/>
      <c r="AI157" s="113"/>
      <c r="AJ157" s="114">
        <f t="shared" si="27"/>
        <v>368995</v>
      </c>
      <c r="AK157" s="118">
        <f>SUM(AK154:AK156)</f>
        <v>233.94068920875307</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U157" s="6"/>
      <c r="BV157" s="6"/>
      <c r="BW157" s="6"/>
      <c r="BX157" s="6"/>
      <c r="BY157" s="6"/>
      <c r="BZ157" s="6"/>
      <c r="CA157" s="6"/>
      <c r="CB157" s="6"/>
    </row>
    <row r="158" spans="1:80">
      <c r="A158" s="699"/>
      <c r="B158" s="23" t="s">
        <v>2</v>
      </c>
      <c r="C158" s="17" t="s">
        <v>22</v>
      </c>
      <c r="D158" s="57"/>
      <c r="E158" s="2"/>
      <c r="F158" s="2"/>
      <c r="G158" s="63"/>
      <c r="H158" s="2"/>
      <c r="I158" s="20">
        <f>D191*[2]SA!$I$362</f>
        <v>184126.75682802484</v>
      </c>
      <c r="J158" s="21"/>
      <c r="K158" s="21"/>
      <c r="L158" s="22"/>
      <c r="M158" s="2"/>
      <c r="N158" s="20"/>
      <c r="O158" s="21"/>
      <c r="P158" s="21"/>
      <c r="Q158" s="21"/>
      <c r="R158" s="34"/>
      <c r="T158" s="57"/>
      <c r="U158" s="2"/>
      <c r="V158" s="2"/>
      <c r="W158" s="199">
        <f>[2]SA!M48</f>
        <v>3981</v>
      </c>
      <c r="X158" s="198"/>
      <c r="Y158" s="198"/>
      <c r="Z158" s="198"/>
      <c r="AA158" s="274"/>
      <c r="AB158" s="21"/>
      <c r="AC158" s="21"/>
      <c r="AD158" s="21"/>
      <c r="AE158" s="21"/>
      <c r="AF158" s="70"/>
      <c r="AG158" s="20"/>
      <c r="AH158" s="21"/>
      <c r="AI158" s="21"/>
      <c r="AJ158" s="22">
        <f t="shared" si="27"/>
        <v>3981</v>
      </c>
      <c r="AK158" s="29">
        <f>AJ158/[2]Popn!$F$40*1000</f>
        <v>2.523930903508302</v>
      </c>
      <c r="AL158" s="19"/>
      <c r="AM158" s="57"/>
      <c r="AN158" s="2"/>
      <c r="AO158" s="2"/>
      <c r="AP158" s="63"/>
      <c r="AQ158" s="70"/>
      <c r="AR158" s="21">
        <f>L163*'[2]Lfill en &amp; composn'!$F$82/SUM('[2]Lfill en &amp; composn'!$F$82,'[2]Lfill en &amp; composn'!$F$84:$F$85,'[2]Lfill en &amp; composn'!$F$87:$F$88)*'[2]Lfill en &amp; composn'!$D$16</f>
        <v>34176.424617977427</v>
      </c>
      <c r="AS158" s="35">
        <f>AR158/SUM($AR$148:$AR$190)</f>
        <v>0.41556119279188719</v>
      </c>
      <c r="AT158" s="21">
        <f>AS158*'[2]Lfill en &amp; composn'!$F$60/'[2]Lfill en &amp; composn'!$B$16</f>
        <v>62022.064976293477</v>
      </c>
      <c r="AU158" s="25"/>
      <c r="AV158" s="21"/>
      <c r="AW158" s="22"/>
      <c r="AX158" s="82"/>
      <c r="AY158" s="20"/>
      <c r="AZ158" s="21"/>
      <c r="BA158" s="21"/>
      <c r="BB158" s="21"/>
      <c r="BC158" s="29"/>
      <c r="BD158" s="30"/>
      <c r="BU158" s="106"/>
      <c r="BV158" s="106"/>
      <c r="BW158" s="106"/>
      <c r="BX158" s="106"/>
      <c r="BY158" s="106"/>
      <c r="BZ158" s="106"/>
      <c r="CA158" s="106"/>
      <c r="CB158" s="106"/>
    </row>
    <row r="159" spans="1:80">
      <c r="A159" s="699"/>
      <c r="B159" s="23"/>
      <c r="C159" s="17" t="s">
        <v>23</v>
      </c>
      <c r="D159" s="57"/>
      <c r="E159" s="2"/>
      <c r="F159" s="2"/>
      <c r="G159" s="63"/>
      <c r="H159" s="2"/>
      <c r="I159" s="20">
        <f>D191*[2]SA!$I$363</f>
        <v>34494.687614360475</v>
      </c>
      <c r="J159" s="21"/>
      <c r="K159" s="21"/>
      <c r="L159" s="22"/>
      <c r="M159" s="2"/>
      <c r="N159" s="20"/>
      <c r="O159" s="21"/>
      <c r="P159" s="21"/>
      <c r="Q159" s="21"/>
      <c r="R159" s="34"/>
      <c r="T159" s="57"/>
      <c r="U159" s="2"/>
      <c r="V159" s="2"/>
      <c r="W159" s="199">
        <f>[2]SA!M49</f>
        <v>209725</v>
      </c>
      <c r="X159" s="198"/>
      <c r="Y159" s="198"/>
      <c r="Z159" s="198"/>
      <c r="AA159" s="274"/>
      <c r="AB159" s="21"/>
      <c r="AC159" s="21"/>
      <c r="AD159" s="21"/>
      <c r="AE159" s="21"/>
      <c r="AF159" s="70"/>
      <c r="AG159" s="20"/>
      <c r="AH159" s="21"/>
      <c r="AI159" s="21"/>
      <c r="AJ159" s="22">
        <f t="shared" si="27"/>
        <v>209725</v>
      </c>
      <c r="AK159" s="29">
        <f>AJ159/[2]Popn!$F$40*1000</f>
        <v>132.96443324247139</v>
      </c>
      <c r="AL159" s="19"/>
      <c r="AM159" s="57"/>
      <c r="AN159" s="2"/>
      <c r="AO159" s="2"/>
      <c r="AP159" s="63"/>
      <c r="AQ159" s="68"/>
      <c r="AR159" s="21">
        <f>L163*'[2]Lfill en &amp; composn'!$F$84/SUM('[2]Lfill en &amp; composn'!$F$82,'[2]Lfill en &amp; composn'!$F$84:$F$85,'[2]Lfill en &amp; composn'!$F$87:$F$88)*'[2]Lfill en &amp; composn'!$D$18</f>
        <v>11613.71907429593</v>
      </c>
      <c r="AS159" s="35">
        <f>AR159/SUM($AR$148:$AR$190)</f>
        <v>0.14121462397578102</v>
      </c>
      <c r="AT159" s="21">
        <f>AS159*'[2]Lfill en &amp; composn'!$F$60/'[2]Lfill en &amp; composn'!$B$18</f>
        <v>15807.099054990958</v>
      </c>
      <c r="AU159" s="25"/>
      <c r="AV159" s="21"/>
      <c r="AW159" s="22"/>
      <c r="AX159" s="2"/>
      <c r="AY159" s="20"/>
      <c r="AZ159" s="21"/>
      <c r="BA159" s="21"/>
      <c r="BB159" s="21"/>
      <c r="BC159" s="29"/>
      <c r="BD159" s="36"/>
    </row>
    <row r="160" spans="1:80">
      <c r="A160" s="699"/>
      <c r="B160" s="23"/>
      <c r="C160" s="17" t="s">
        <v>24</v>
      </c>
      <c r="D160" s="57"/>
      <c r="E160" s="2"/>
      <c r="F160" s="2"/>
      <c r="G160" s="63"/>
      <c r="H160" s="2"/>
      <c r="I160" s="20">
        <f>D191*[2]SA!$I$364</f>
        <v>10994.859739777807</v>
      </c>
      <c r="J160" s="21"/>
      <c r="K160" s="21"/>
      <c r="L160" s="22"/>
      <c r="M160" s="2"/>
      <c r="N160" s="20"/>
      <c r="O160" s="21"/>
      <c r="P160" s="21"/>
      <c r="Q160" s="21"/>
      <c r="R160" s="34"/>
      <c r="T160" s="57"/>
      <c r="U160" s="2"/>
      <c r="V160" s="2"/>
      <c r="W160" s="199">
        <f>[2]SA!M50</f>
        <v>275385</v>
      </c>
      <c r="X160" s="198"/>
      <c r="Y160" s="198"/>
      <c r="Z160" s="198"/>
      <c r="AA160" s="274"/>
      <c r="AB160" s="21"/>
      <c r="AC160" s="21"/>
      <c r="AD160" s="21"/>
      <c r="AE160" s="21"/>
      <c r="AF160" s="70"/>
      <c r="AG160" s="20"/>
      <c r="AH160" s="21"/>
      <c r="AI160" s="21"/>
      <c r="AJ160" s="22">
        <f t="shared" si="27"/>
        <v>275385</v>
      </c>
      <c r="AK160" s="29">
        <f>AJ160/[2]Popn!$F$40*1000</f>
        <v>174.59249230410293</v>
      </c>
      <c r="AL160" s="19"/>
      <c r="AM160" s="57"/>
      <c r="AN160" s="198">
        <f>[2]SA!$M$161*[2]SA!$M$154</f>
        <v>0</v>
      </c>
      <c r="AO160" s="2"/>
      <c r="AP160" s="63"/>
      <c r="AQ160" s="70"/>
      <c r="AR160" s="21">
        <f>L163*'[2]Lfill en &amp; composn'!$F$85/SUM('[2]Lfill en &amp; composn'!$F$82,'[2]Lfill en &amp; composn'!$F$84:$F$85,'[2]Lfill en &amp; composn'!$F$87:$F$88)*'[2]Lfill en &amp; composn'!$D$19</f>
        <v>8738.2750523434479</v>
      </c>
      <c r="AS160" s="35">
        <f>AR160/SUM($AR$148:$AR$190)</f>
        <v>0.10625125490117271</v>
      </c>
      <c r="AT160" s="21">
        <f>AS160*'[2]Lfill en &amp; composn'!$F$60/'[2]Lfill en &amp; composn'!$B$19</f>
        <v>5531.8208772932394</v>
      </c>
      <c r="AU160" s="25"/>
      <c r="AV160" s="21"/>
      <c r="AW160" s="22"/>
      <c r="AX160" s="2"/>
      <c r="AY160" s="20"/>
      <c r="AZ160" s="21">
        <f>AN160</f>
        <v>0</v>
      </c>
      <c r="BA160" s="21"/>
      <c r="BB160" s="21"/>
      <c r="BC160" s="29"/>
    </row>
    <row r="161" spans="1:80">
      <c r="A161" s="699"/>
      <c r="B161" s="23"/>
      <c r="C161" s="17" t="s">
        <v>25</v>
      </c>
      <c r="D161" s="57"/>
      <c r="E161" s="2"/>
      <c r="F161" s="2"/>
      <c r="G161" s="63"/>
      <c r="H161" s="2"/>
      <c r="I161" s="20">
        <f>D191*[2]SA!$I$365</f>
        <v>22765.57018302811</v>
      </c>
      <c r="J161" s="21"/>
      <c r="K161" s="21"/>
      <c r="L161" s="22"/>
      <c r="M161" s="2"/>
      <c r="N161" s="20"/>
      <c r="O161" s="21"/>
      <c r="P161" s="21"/>
      <c r="Q161" s="21"/>
      <c r="R161" s="34"/>
      <c r="T161" s="57"/>
      <c r="U161" s="2"/>
      <c r="V161" s="2"/>
      <c r="W161" s="199">
        <f>[2]SA!S51</f>
        <v>82036</v>
      </c>
      <c r="X161" s="198"/>
      <c r="Y161" s="198"/>
      <c r="Z161" s="198"/>
      <c r="AA161" s="274"/>
      <c r="AB161" s="21"/>
      <c r="AC161" s="21"/>
      <c r="AD161" s="21"/>
      <c r="AE161" s="21"/>
      <c r="AF161" s="70"/>
      <c r="AG161" s="20"/>
      <c r="AH161" s="21"/>
      <c r="AI161" s="21"/>
      <c r="AJ161" s="22">
        <f t="shared" si="27"/>
        <v>82036</v>
      </c>
      <c r="AK161" s="29">
        <f>AJ161/[2]Popn!$F$40*1000</f>
        <v>52.010348053304959</v>
      </c>
      <c r="AL161" s="19"/>
      <c r="AM161" s="57"/>
      <c r="AN161" s="198"/>
      <c r="AO161" s="2"/>
      <c r="AP161" s="63"/>
      <c r="AQ161" s="68"/>
      <c r="AR161" s="21">
        <f>L163*'[2]Lfill en &amp; composn'!$F$93/SUM('[2]Lfill en &amp; composn'!$F$82,'[2]Lfill en &amp; composn'!$F$84:$F$85,'[2]Lfill en &amp; composn'!$F$87:$F$88)*'[2]Lfill en &amp; composn'!$D$24</f>
        <v>2809.1414558207393</v>
      </c>
      <c r="AS161" s="35">
        <f>AR161/SUM($AR$148:$AR$190)</f>
        <v>3.4157176683951504E-2</v>
      </c>
      <c r="AT161" s="21">
        <f>AS161*'[2]Lfill en &amp; composn'!$F$60/'[2]Lfill en &amp; composn'!$B$24</f>
        <v>3186.2013772658142</v>
      </c>
      <c r="AU161" s="25"/>
      <c r="AV161" s="21"/>
      <c r="AW161" s="22"/>
      <c r="AX161" s="83"/>
      <c r="AY161" s="20"/>
      <c r="AZ161" s="21"/>
      <c r="BA161" s="21"/>
      <c r="BB161" s="21"/>
      <c r="BC161" s="29"/>
    </row>
    <row r="162" spans="1:80">
      <c r="A162" s="699"/>
      <c r="B162" s="23"/>
      <c r="C162" s="17" t="s">
        <v>0</v>
      </c>
      <c r="D162" s="57"/>
      <c r="E162" s="2"/>
      <c r="F162" s="2"/>
      <c r="G162" s="63"/>
      <c r="H162" s="198">
        <f>[2]Biosolids!$F$201</f>
        <v>0</v>
      </c>
      <c r="I162" s="20">
        <f>D191*[2]SA!$I$366</f>
        <v>0</v>
      </c>
      <c r="J162" s="21"/>
      <c r="K162" s="21"/>
      <c r="L162" s="22"/>
      <c r="M162" s="2"/>
      <c r="N162" s="23"/>
      <c r="O162" s="19"/>
      <c r="P162" s="19"/>
      <c r="Q162" s="19"/>
      <c r="R162" s="34"/>
      <c r="T162" s="57"/>
      <c r="U162" s="2"/>
      <c r="V162" s="2"/>
      <c r="W162" s="199"/>
      <c r="X162" s="198"/>
      <c r="Y162" s="198"/>
      <c r="Z162" s="198"/>
      <c r="AA162" s="278">
        <f>[2]Biosolids!$F$200</f>
        <v>600</v>
      </c>
      <c r="AB162" s="21"/>
      <c r="AC162" s="21"/>
      <c r="AD162" s="21"/>
      <c r="AE162" s="21"/>
      <c r="AF162" s="70"/>
      <c r="AG162" s="20"/>
      <c r="AH162" s="21"/>
      <c r="AI162" s="21"/>
      <c r="AJ162" s="22">
        <f>AA162</f>
        <v>600</v>
      </c>
      <c r="AK162" s="29">
        <f>AJ162/[2]Popn!$F$40*1000</f>
        <v>0.38039651899145471</v>
      </c>
      <c r="AL162" s="19"/>
      <c r="AM162" s="57"/>
      <c r="AN162" s="198"/>
      <c r="AO162" s="2"/>
      <c r="AP162" s="63"/>
      <c r="AQ162" s="68"/>
      <c r="AR162" s="21">
        <f>L163*'[2]Lfill en &amp; composn'!$F$87/SUM('[2]Lfill en &amp; composn'!$F$82,'[2]Lfill en &amp; composn'!$F$84:$F$85,'[2]Lfill en &amp; composn'!$F$87:$F$88)*'[2]Lfill en &amp; composn'!$D$21</f>
        <v>115.82831523566418</v>
      </c>
      <c r="AS162" s="35">
        <f>AR162/SUM($AR$148:$AR$190)</f>
        <v>1.408390531673348E-3</v>
      </c>
      <c r="AT162" s="21">
        <f>AS162*'[2]Lfill en &amp; composn'!$F$60/'[2]Lfill en &amp; composn'!$B$21</f>
        <v>630.60235591719254</v>
      </c>
      <c r="AU162" s="25"/>
      <c r="AV162" s="21"/>
      <c r="AW162" s="22"/>
      <c r="AX162" s="2"/>
      <c r="AY162" s="23"/>
      <c r="AZ162" s="19"/>
      <c r="BA162" s="19"/>
      <c r="BB162" s="21"/>
      <c r="BC162" s="24"/>
    </row>
    <row r="163" spans="1:80" s="106" customFormat="1" ht="25.5">
      <c r="A163" s="699"/>
      <c r="B163" s="107" t="s">
        <v>67</v>
      </c>
      <c r="C163" s="108"/>
      <c r="D163" s="109"/>
      <c r="E163" s="110"/>
      <c r="F163" s="110"/>
      <c r="G163" s="111"/>
      <c r="H163" s="110"/>
      <c r="I163" s="112">
        <f>SUM(I158:I162)</f>
        <v>252381.87436519124</v>
      </c>
      <c r="J163" s="113">
        <f>(E191-G186)*[2]SA!L$227</f>
        <v>104986.35348419778</v>
      </c>
      <c r="K163" s="113">
        <f>F191*[2]SA!M$227</f>
        <v>153820.73672400898</v>
      </c>
      <c r="L163" s="114">
        <f>SUM(I163:K163)</f>
        <v>511188.964573398</v>
      </c>
      <c r="M163" s="110"/>
      <c r="N163" s="112">
        <f>I163-AU163</f>
        <v>209340.8558275915</v>
      </c>
      <c r="O163" s="113">
        <f>J163-AV163</f>
        <v>87082.058265398256</v>
      </c>
      <c r="P163" s="113">
        <f>K163-AW163</f>
        <v>127588.26183864757</v>
      </c>
      <c r="Q163" s="114">
        <f>SUM(N163:P163)</f>
        <v>424011.17593163729</v>
      </c>
      <c r="R163" s="115">
        <f>Q163/[2]Popn!$F$40*1000</f>
        <v>268.82062556311354</v>
      </c>
      <c r="T163" s="109"/>
      <c r="U163" s="110"/>
      <c r="V163" s="110"/>
      <c r="W163" s="203">
        <f>SUM(W158:W162)</f>
        <v>571127</v>
      </c>
      <c r="X163" s="130"/>
      <c r="Y163" s="130"/>
      <c r="Z163" s="130"/>
      <c r="AA163" s="276"/>
      <c r="AB163" s="113"/>
      <c r="AC163" s="113"/>
      <c r="AD163" s="113"/>
      <c r="AE163" s="113"/>
      <c r="AF163" s="117"/>
      <c r="AG163" s="112"/>
      <c r="AH163" s="113"/>
      <c r="AI163" s="113"/>
      <c r="AJ163" s="114">
        <f>SUM(AJ158:AJ162)</f>
        <v>571727</v>
      </c>
      <c r="AK163" s="118">
        <f>SUM(AK158:AK162)</f>
        <v>362.47160102237899</v>
      </c>
      <c r="AL163" s="119"/>
      <c r="AM163" s="109"/>
      <c r="AN163" s="130"/>
      <c r="AO163" s="110"/>
      <c r="AP163" s="111"/>
      <c r="AQ163" s="116"/>
      <c r="AR163" s="113"/>
      <c r="AS163" s="113"/>
      <c r="AT163" s="113">
        <f>SUM(AT158:AT162)</f>
        <v>87177.788641760679</v>
      </c>
      <c r="AU163" s="120">
        <f>$AT163*I163/SUM($I163:$K163)</f>
        <v>43041.018537599739</v>
      </c>
      <c r="AV163" s="113">
        <f>$AT163*J163/SUM($I163:$K163)</f>
        <v>17904.295218799525</v>
      </c>
      <c r="AW163" s="113">
        <f>$AT163*K163/SUM($I163:$K163)</f>
        <v>26232.474885361415</v>
      </c>
      <c r="AX163" s="116"/>
      <c r="AY163" s="241">
        <f>AU163</f>
        <v>43041.018537599739</v>
      </c>
      <c r="AZ163" s="242">
        <f>AV163+AZ160</f>
        <v>17904.295218799525</v>
      </c>
      <c r="BA163" s="242">
        <f>AW163</f>
        <v>26232.474885361415</v>
      </c>
      <c r="BB163" s="243">
        <f>AT163+AP163</f>
        <v>87177.788641760679</v>
      </c>
      <c r="BC163" s="118">
        <f>BB163/[2]Popn!$F$40*1000</f>
        <v>55.270212221164229</v>
      </c>
      <c r="BD163" s="122"/>
      <c r="BG163" s="146"/>
      <c r="BH163" s="138" t="s">
        <v>72</v>
      </c>
      <c r="BI163" s="138" t="s">
        <v>68</v>
      </c>
      <c r="BJ163" s="138" t="s">
        <v>69</v>
      </c>
      <c r="BK163" s="138" t="s">
        <v>73</v>
      </c>
      <c r="BL163" s="138" t="s">
        <v>78</v>
      </c>
      <c r="BM163" s="6"/>
      <c r="BN163" s="6"/>
      <c r="BO163" s="6"/>
      <c r="BU163" s="6"/>
      <c r="BV163" s="6"/>
      <c r="BW163" s="6"/>
      <c r="BX163" s="6"/>
      <c r="BY163" s="6"/>
      <c r="BZ163" s="6"/>
      <c r="CA163" s="6"/>
      <c r="CB163" s="6"/>
    </row>
    <row r="164" spans="1:80">
      <c r="A164" s="699"/>
      <c r="B164" s="23" t="s">
        <v>5</v>
      </c>
      <c r="C164" s="17" t="s">
        <v>26</v>
      </c>
      <c r="D164" s="57"/>
      <c r="E164" s="2"/>
      <c r="F164" s="2"/>
      <c r="G164" s="63"/>
      <c r="H164" s="2"/>
      <c r="I164" s="20"/>
      <c r="J164" s="21"/>
      <c r="K164" s="21"/>
      <c r="L164" s="22"/>
      <c r="M164" s="2"/>
      <c r="N164" s="23"/>
      <c r="O164" s="19"/>
      <c r="P164" s="19"/>
      <c r="Q164" s="19"/>
      <c r="R164" s="33"/>
      <c r="T164" s="57"/>
      <c r="U164" s="2"/>
      <c r="V164" s="2"/>
      <c r="W164" s="199">
        <f>[2]SA!M52</f>
        <v>96436</v>
      </c>
      <c r="X164" s="198"/>
      <c r="Y164" s="198"/>
      <c r="Z164" s="198"/>
      <c r="AA164" s="274"/>
      <c r="AB164" s="21"/>
      <c r="AC164" s="21"/>
      <c r="AD164" s="21"/>
      <c r="AE164" s="21"/>
      <c r="AF164" s="70"/>
      <c r="AG164" s="20"/>
      <c r="AH164" s="21"/>
      <c r="AI164" s="21"/>
      <c r="AJ164" s="22">
        <f t="shared" si="27"/>
        <v>96436</v>
      </c>
      <c r="AK164" s="29">
        <f>AJ164/[2]Popn!$F$40*1000</f>
        <v>61.139864509099873</v>
      </c>
      <c r="AL164" s="19"/>
      <c r="AM164" s="57"/>
      <c r="AN164" s="198"/>
      <c r="AO164" s="2"/>
      <c r="AP164" s="63"/>
      <c r="AQ164" s="68"/>
      <c r="AR164" s="21"/>
      <c r="AS164" s="21"/>
      <c r="AT164" s="21"/>
      <c r="AU164" s="240"/>
      <c r="AV164" s="19"/>
      <c r="AW164" s="19"/>
      <c r="AX164" s="68"/>
      <c r="AY164" s="238"/>
      <c r="BB164" s="19"/>
      <c r="BC164" s="24"/>
      <c r="BG164" s="147" t="s">
        <v>3</v>
      </c>
      <c r="BH164" s="52">
        <f>Q153/1000</f>
        <v>157.25566584912343</v>
      </c>
      <c r="BI164" s="52">
        <f>AJ153/1000</f>
        <v>923.31200000000001</v>
      </c>
      <c r="BJ164" s="52">
        <f>BB153/1000</f>
        <v>0</v>
      </c>
      <c r="BK164" s="137">
        <f>SUM(BI164:BJ164)/BL164</f>
        <v>0.85446939528257126</v>
      </c>
      <c r="BL164" s="52">
        <f>SUM(BH164:BJ164)</f>
        <v>1080.5676658491234</v>
      </c>
      <c r="BU164" s="106"/>
      <c r="BV164" s="106"/>
      <c r="BW164" s="106"/>
      <c r="BX164" s="106"/>
      <c r="BY164" s="106"/>
      <c r="BZ164" s="106"/>
      <c r="CA164" s="106"/>
      <c r="CB164" s="106"/>
    </row>
    <row r="165" spans="1:80">
      <c r="A165" s="699"/>
      <c r="B165" s="23"/>
      <c r="C165" s="17" t="s">
        <v>27</v>
      </c>
      <c r="D165" s="57"/>
      <c r="E165" s="2"/>
      <c r="F165" s="2"/>
      <c r="G165" s="63"/>
      <c r="H165" s="2"/>
      <c r="I165" s="20"/>
      <c r="J165" s="21"/>
      <c r="K165" s="21"/>
      <c r="L165" s="22"/>
      <c r="M165" s="2"/>
      <c r="N165" s="23"/>
      <c r="O165" s="19"/>
      <c r="P165" s="19"/>
      <c r="Q165" s="19"/>
      <c r="R165" s="33"/>
      <c r="T165" s="57"/>
      <c r="U165" s="2"/>
      <c r="V165" s="2"/>
      <c r="W165" s="199">
        <f>[2]SA!M53</f>
        <v>1373</v>
      </c>
      <c r="X165" s="198"/>
      <c r="Y165" s="198"/>
      <c r="Z165" s="198"/>
      <c r="AA165" s="274"/>
      <c r="AB165" s="21"/>
      <c r="AC165" s="21"/>
      <c r="AD165" s="21"/>
      <c r="AE165" s="21"/>
      <c r="AF165" s="70"/>
      <c r="AG165" s="20"/>
      <c r="AH165" s="21"/>
      <c r="AI165" s="21"/>
      <c r="AJ165" s="22">
        <f t="shared" si="27"/>
        <v>1373</v>
      </c>
      <c r="AK165" s="29">
        <f>AJ165/[2]Popn!$F$40*1000</f>
        <v>0.87047403429211223</v>
      </c>
      <c r="AL165" s="19"/>
      <c r="AM165" s="57"/>
      <c r="AN165" s="198"/>
      <c r="AO165" s="2"/>
      <c r="AP165" s="63"/>
      <c r="AQ165" s="68"/>
      <c r="AR165" s="21"/>
      <c r="AS165" s="21"/>
      <c r="AT165" s="21"/>
      <c r="AU165" s="240"/>
      <c r="AV165" s="19"/>
      <c r="AW165" s="19"/>
      <c r="AX165" s="68"/>
      <c r="AY165" s="238"/>
      <c r="BB165" s="19"/>
      <c r="BC165" s="24"/>
      <c r="BG165" s="147" t="s">
        <v>4</v>
      </c>
      <c r="BH165" s="52">
        <f>Q157/1000</f>
        <v>32.555485637273662</v>
      </c>
      <c r="BI165" s="52">
        <f>AJ157/1000</f>
        <v>368.995</v>
      </c>
      <c r="BJ165" s="52">
        <f>BB157/1000</f>
        <v>0</v>
      </c>
      <c r="BK165" s="137">
        <f t="shared" ref="BK165:BK172" si="30">SUM(BI165:BJ165)/BL165</f>
        <v>0.91892554784087233</v>
      </c>
      <c r="BL165" s="52">
        <f t="shared" ref="BL165:BL172" si="31">SUM(BH165:BJ165)</f>
        <v>401.55048563727365</v>
      </c>
    </row>
    <row r="166" spans="1:80">
      <c r="A166" s="699"/>
      <c r="B166" s="23"/>
      <c r="C166" s="17" t="s">
        <v>28</v>
      </c>
      <c r="D166" s="57"/>
      <c r="E166" s="2"/>
      <c r="F166" s="2"/>
      <c r="G166" s="63"/>
      <c r="H166" s="2"/>
      <c r="I166" s="20"/>
      <c r="J166" s="21"/>
      <c r="K166" s="21"/>
      <c r="L166" s="22"/>
      <c r="M166" s="2"/>
      <c r="N166" s="23"/>
      <c r="O166" s="19"/>
      <c r="P166" s="19"/>
      <c r="Q166" s="19"/>
      <c r="R166" s="33"/>
      <c r="T166" s="57"/>
      <c r="U166" s="2"/>
      <c r="V166" s="2"/>
      <c r="W166" s="199">
        <f>[2]SA!M54</f>
        <v>46722</v>
      </c>
      <c r="X166" s="198"/>
      <c r="Y166" s="198"/>
      <c r="Z166" s="198"/>
      <c r="AA166" s="274"/>
      <c r="AB166" s="21"/>
      <c r="AC166" s="21"/>
      <c r="AD166" s="21"/>
      <c r="AE166" s="21"/>
      <c r="AF166" s="70"/>
      <c r="AG166" s="20"/>
      <c r="AH166" s="21"/>
      <c r="AI166" s="21"/>
      <c r="AJ166" s="22">
        <f t="shared" si="27"/>
        <v>46722</v>
      </c>
      <c r="AK166" s="29">
        <f>AJ166/[2]Popn!$F$40*1000</f>
        <v>29.621476933864578</v>
      </c>
      <c r="AL166" s="19"/>
      <c r="AM166" s="57"/>
      <c r="AN166" s="198"/>
      <c r="AO166" s="2"/>
      <c r="AP166" s="63"/>
      <c r="AQ166" s="68"/>
      <c r="AR166" s="21"/>
      <c r="AS166" s="21"/>
      <c r="AT166" s="21"/>
      <c r="AU166" s="240"/>
      <c r="AV166" s="19"/>
      <c r="AW166" s="19"/>
      <c r="AX166" s="68"/>
      <c r="AY166" s="238"/>
      <c r="BB166" s="19"/>
      <c r="BC166" s="24"/>
      <c r="BG166" s="147" t="s">
        <v>2</v>
      </c>
      <c r="BH166" s="52">
        <f>Q163/1000</f>
        <v>424.0111759316373</v>
      </c>
      <c r="BI166" s="52">
        <f>AJ163/1000</f>
        <v>571.72699999999998</v>
      </c>
      <c r="BJ166" s="52">
        <f>BB163/1000</f>
        <v>87.177788641760685</v>
      </c>
      <c r="BK166" s="137">
        <f t="shared" si="30"/>
        <v>0.60845422008468442</v>
      </c>
      <c r="BL166" s="52">
        <f t="shared" si="31"/>
        <v>1082.915964573398</v>
      </c>
    </row>
    <row r="167" spans="1:80">
      <c r="A167" s="699"/>
      <c r="B167" s="23"/>
      <c r="C167" s="17" t="s">
        <v>29</v>
      </c>
      <c r="D167" s="57"/>
      <c r="E167" s="2"/>
      <c r="F167" s="2"/>
      <c r="G167" s="63"/>
      <c r="H167" s="2"/>
      <c r="I167" s="20"/>
      <c r="J167" s="21"/>
      <c r="K167" s="21"/>
      <c r="L167" s="22"/>
      <c r="M167" s="2"/>
      <c r="N167" s="23"/>
      <c r="O167" s="19"/>
      <c r="P167" s="19"/>
      <c r="Q167" s="19"/>
      <c r="R167" s="33"/>
      <c r="T167" s="57"/>
      <c r="U167" s="2"/>
      <c r="V167" s="2"/>
      <c r="W167" s="199">
        <f>[2]SA!M55</f>
        <v>30574</v>
      </c>
      <c r="X167" s="198"/>
      <c r="Y167" s="198"/>
      <c r="Z167" s="198"/>
      <c r="AA167" s="274"/>
      <c r="AB167" s="21"/>
      <c r="AC167" s="21"/>
      <c r="AD167" s="21"/>
      <c r="AE167" s="21"/>
      <c r="AF167" s="70"/>
      <c r="AG167" s="20"/>
      <c r="AH167" s="21"/>
      <c r="AI167" s="21"/>
      <c r="AJ167" s="22">
        <f t="shared" si="27"/>
        <v>30574</v>
      </c>
      <c r="AK167" s="29">
        <f>AJ167/[2]Popn!$F$40*1000</f>
        <v>19.383738619407893</v>
      </c>
      <c r="AL167" s="19"/>
      <c r="AM167" s="57"/>
      <c r="AN167" s="198"/>
      <c r="AO167" s="2"/>
      <c r="AP167" s="63"/>
      <c r="AQ167" s="68"/>
      <c r="AR167" s="21"/>
      <c r="AS167" s="21"/>
      <c r="AT167" s="21"/>
      <c r="AU167" s="240"/>
      <c r="AV167" s="19"/>
      <c r="AW167" s="19"/>
      <c r="AX167" s="68"/>
      <c r="AY167" s="238"/>
      <c r="BB167" s="19"/>
      <c r="BC167" s="24"/>
      <c r="BG167" s="147" t="s">
        <v>5</v>
      </c>
      <c r="BH167" s="52">
        <f>Q168/1000</f>
        <v>82.732250675904325</v>
      </c>
      <c r="BI167" s="52">
        <f>AJ168/1000</f>
        <v>175.10499999999999</v>
      </c>
      <c r="BJ167" s="52">
        <f>BB168/1000</f>
        <v>12.733727802083795</v>
      </c>
      <c r="BK167" s="137">
        <f t="shared" si="30"/>
        <v>0.69423087745297518</v>
      </c>
      <c r="BL167" s="52">
        <f t="shared" si="31"/>
        <v>270.57097847798815</v>
      </c>
    </row>
    <row r="168" spans="1:80" s="106" customFormat="1">
      <c r="A168" s="699"/>
      <c r="B168" s="107" t="s">
        <v>67</v>
      </c>
      <c r="C168" s="108"/>
      <c r="D168" s="109"/>
      <c r="E168" s="110"/>
      <c r="F168" s="110"/>
      <c r="G168" s="111"/>
      <c r="H168" s="110"/>
      <c r="I168" s="112">
        <f>D191*[2]SA!$I$367</f>
        <v>54070.020057110189</v>
      </c>
      <c r="J168" s="113">
        <f>(E191-G186)*[2]SA!L$228</f>
        <v>36521.687665455349</v>
      </c>
      <c r="K168" s="113">
        <f>F191*[2]SA!M$228</f>
        <v>4874.2707554225881</v>
      </c>
      <c r="L168" s="114">
        <f>SUM(I168:K168)</f>
        <v>95465.97847798813</v>
      </c>
      <c r="M168" s="110"/>
      <c r="N168" s="112">
        <f>I168-AU168</f>
        <v>46857.891415709368</v>
      </c>
      <c r="O168" s="113">
        <f>J168-AV168</f>
        <v>31650.243020786889</v>
      </c>
      <c r="P168" s="113">
        <f>K168-AW168</f>
        <v>4224.116239408072</v>
      </c>
      <c r="Q168" s="114">
        <f>SUM(N168:P168)</f>
        <v>82732.250675904332</v>
      </c>
      <c r="R168" s="115">
        <f>Q168/[2]Popn!$F$40*1000</f>
        <v>52.451766942404056</v>
      </c>
      <c r="T168" s="109"/>
      <c r="U168" s="110"/>
      <c r="V168" s="110"/>
      <c r="W168" s="203">
        <f>SUM(W164:W167)</f>
        <v>175105</v>
      </c>
      <c r="X168" s="130"/>
      <c r="Y168" s="130"/>
      <c r="Z168" s="130"/>
      <c r="AA168" s="276"/>
      <c r="AB168" s="113"/>
      <c r="AC168" s="113"/>
      <c r="AD168" s="113"/>
      <c r="AE168" s="113"/>
      <c r="AF168" s="117"/>
      <c r="AG168" s="112"/>
      <c r="AH168" s="113"/>
      <c r="AI168" s="113"/>
      <c r="AJ168" s="114">
        <f t="shared" si="27"/>
        <v>175105</v>
      </c>
      <c r="AK168" s="118">
        <f>SUM(AK164:AK167)</f>
        <v>111.01555409666446</v>
      </c>
      <c r="AL168" s="119"/>
      <c r="AM168" s="109"/>
      <c r="AN168" s="130"/>
      <c r="AO168" s="110"/>
      <c r="AP168" s="111"/>
      <c r="AQ168" s="117"/>
      <c r="AR168" s="113">
        <f>L168*'[2]Lfill en &amp; composn'!$D$17</f>
        <v>18711.331781685672</v>
      </c>
      <c r="AS168" s="123">
        <f>AR168/SUM($AR$148:$AR$190)</f>
        <v>0.22751658316627663</v>
      </c>
      <c r="AT168" s="113">
        <f>AS168*'[2]Lfill en &amp; composn'!$F$60/'[2]Lfill en &amp; composn'!$B$17</f>
        <v>12733.727802083795</v>
      </c>
      <c r="AU168" s="120">
        <f>$AT168*I168/SUM($I168:$K168)</f>
        <v>7212.1286414008191</v>
      </c>
      <c r="AV168" s="113">
        <f>$AT168*J168/SUM($I168:$K168)</f>
        <v>4871.4446446684587</v>
      </c>
      <c r="AW168" s="113">
        <f>$AT168*K168/SUM($I168:$K168)</f>
        <v>650.15451601451616</v>
      </c>
      <c r="AX168" s="116"/>
      <c r="AY168" s="241">
        <f>AU168</f>
        <v>7212.1286414008191</v>
      </c>
      <c r="AZ168" s="242">
        <f>AV168</f>
        <v>4871.4446446684587</v>
      </c>
      <c r="BA168" s="242">
        <f>AW168</f>
        <v>650.15451601451616</v>
      </c>
      <c r="BB168" s="114">
        <f>AT168+AP168</f>
        <v>12733.727802083795</v>
      </c>
      <c r="BC168" s="118">
        <f>BB168/[2]Popn!$F$40*1000</f>
        <v>8.0731095494956389</v>
      </c>
      <c r="BD168" s="122"/>
      <c r="BG168" s="147" t="s">
        <v>6</v>
      </c>
      <c r="BH168" s="52">
        <f>Q178/1000</f>
        <v>64.467078219791361</v>
      </c>
      <c r="BI168" s="52">
        <f>AJ178/1000</f>
        <v>16.88</v>
      </c>
      <c r="BJ168" s="52">
        <f>BB178/1000</f>
        <v>0</v>
      </c>
      <c r="BK168" s="137">
        <f t="shared" si="30"/>
        <v>0.20750591624682563</v>
      </c>
      <c r="BL168" s="52">
        <f t="shared" si="31"/>
        <v>81.347078219791356</v>
      </c>
      <c r="BM168" s="6"/>
      <c r="BN168" s="6"/>
      <c r="BO168" s="6"/>
      <c r="BU168" s="6"/>
      <c r="BV168" s="6"/>
      <c r="BW168" s="6"/>
      <c r="BX168" s="6"/>
      <c r="BY168" s="6"/>
      <c r="BZ168" s="6"/>
      <c r="CA168" s="6"/>
      <c r="CB168" s="6"/>
    </row>
    <row r="169" spans="1:80">
      <c r="A169" s="699"/>
      <c r="B169" s="23" t="s">
        <v>6</v>
      </c>
      <c r="C169" s="17" t="s">
        <v>30</v>
      </c>
      <c r="D169" s="57"/>
      <c r="E169" s="2"/>
      <c r="F169" s="2"/>
      <c r="G169" s="63"/>
      <c r="H169" s="2"/>
      <c r="I169" s="20"/>
      <c r="J169" s="21"/>
      <c r="K169" s="21"/>
      <c r="L169" s="22"/>
      <c r="M169" s="2"/>
      <c r="N169" s="23"/>
      <c r="O169" s="19"/>
      <c r="P169" s="19"/>
      <c r="Q169" s="19"/>
      <c r="R169" s="33"/>
      <c r="T169" s="57"/>
      <c r="U169" s="2"/>
      <c r="V169" s="2"/>
      <c r="W169" s="199">
        <f>[2]SA!M56</f>
        <v>5704</v>
      </c>
      <c r="X169" s="198"/>
      <c r="Y169" s="198"/>
      <c r="Z169" s="198"/>
      <c r="AA169" s="274"/>
      <c r="AB169" s="21"/>
      <c r="AC169" s="21"/>
      <c r="AD169" s="21"/>
      <c r="AE169" s="21"/>
      <c r="AF169" s="70"/>
      <c r="AG169" s="20"/>
      <c r="AH169" s="21"/>
      <c r="AI169" s="21"/>
      <c r="AJ169" s="22">
        <f t="shared" si="27"/>
        <v>5704</v>
      </c>
      <c r="AK169" s="29"/>
      <c r="AL169" s="19"/>
      <c r="AM169" s="57"/>
      <c r="AN169" s="198"/>
      <c r="AO169" s="2"/>
      <c r="AP169" s="63"/>
      <c r="AQ169" s="68"/>
      <c r="AR169" s="21"/>
      <c r="AS169" s="21"/>
      <c r="AT169" s="21"/>
      <c r="AU169" s="240"/>
      <c r="AV169" s="19"/>
      <c r="AW169" s="19"/>
      <c r="AX169" s="68"/>
      <c r="AY169" s="238"/>
      <c r="BB169" s="19"/>
      <c r="BC169" s="24"/>
      <c r="BG169" s="147" t="s">
        <v>8</v>
      </c>
      <c r="BH169" s="52">
        <f>Q179/1000</f>
        <v>17.762540803273971</v>
      </c>
      <c r="BI169" s="52">
        <f>AJ179/1000</f>
        <v>50.11</v>
      </c>
      <c r="BJ169" s="52">
        <f>BB179/1000</f>
        <v>0</v>
      </c>
      <c r="BK169" s="137">
        <f t="shared" si="30"/>
        <v>0.73829562599169463</v>
      </c>
      <c r="BL169" s="52">
        <f t="shared" si="31"/>
        <v>67.872540803273978</v>
      </c>
      <c r="BU169" s="106"/>
      <c r="BV169" s="106"/>
      <c r="BW169" s="106"/>
      <c r="BX169" s="106"/>
      <c r="BY169" s="106"/>
      <c r="BZ169" s="106"/>
      <c r="CA169" s="106"/>
      <c r="CB169" s="106"/>
    </row>
    <row r="170" spans="1:80">
      <c r="A170" s="699"/>
      <c r="B170" s="23"/>
      <c r="C170" s="17" t="s">
        <v>31</v>
      </c>
      <c r="D170" s="57"/>
      <c r="E170" s="2"/>
      <c r="F170" s="2"/>
      <c r="G170" s="63"/>
      <c r="H170" s="2"/>
      <c r="I170" s="20"/>
      <c r="J170" s="21"/>
      <c r="K170" s="21"/>
      <c r="L170" s="22"/>
      <c r="M170" s="2"/>
      <c r="N170" s="23"/>
      <c r="O170" s="19"/>
      <c r="P170" s="19"/>
      <c r="Q170" s="19"/>
      <c r="R170" s="33"/>
      <c r="T170" s="57"/>
      <c r="U170" s="2"/>
      <c r="V170" s="2"/>
      <c r="W170" s="199">
        <f>[2]SA!M57</f>
        <v>2779</v>
      </c>
      <c r="X170" s="198"/>
      <c r="Y170" s="198"/>
      <c r="Z170" s="198"/>
      <c r="AA170" s="274"/>
      <c r="AB170" s="21"/>
      <c r="AC170" s="21"/>
      <c r="AD170" s="21"/>
      <c r="AE170" s="21"/>
      <c r="AF170" s="70"/>
      <c r="AG170" s="20"/>
      <c r="AH170" s="21"/>
      <c r="AI170" s="21"/>
      <c r="AJ170" s="22">
        <f t="shared" si="27"/>
        <v>2779</v>
      </c>
      <c r="AK170" s="29"/>
      <c r="AL170" s="19"/>
      <c r="AM170" s="57"/>
      <c r="AN170" s="198"/>
      <c r="AO170" s="2"/>
      <c r="AP170" s="63"/>
      <c r="AQ170" s="68"/>
      <c r="AR170" s="21"/>
      <c r="AS170" s="21"/>
      <c r="AT170" s="21"/>
      <c r="AU170" s="240"/>
      <c r="AV170" s="19"/>
      <c r="AW170" s="19"/>
      <c r="AX170" s="68"/>
      <c r="AY170" s="238"/>
      <c r="BB170" s="19"/>
      <c r="BC170" s="24"/>
      <c r="BG170" s="147" t="s">
        <v>7</v>
      </c>
      <c r="BH170" s="52">
        <f>Q182/1000</f>
        <v>33.864903266874741</v>
      </c>
      <c r="BI170" s="52">
        <f>AJ182/1000</f>
        <v>3.8340000000000001</v>
      </c>
      <c r="BJ170" s="52">
        <f>BB182/1000</f>
        <v>4.7185703105348242</v>
      </c>
      <c r="BK170" s="137">
        <f t="shared" si="30"/>
        <v>0.20162847027951467</v>
      </c>
      <c r="BL170" s="52">
        <f t="shared" si="31"/>
        <v>42.417473577409567</v>
      </c>
    </row>
    <row r="171" spans="1:80">
      <c r="A171" s="699"/>
      <c r="B171" s="23"/>
      <c r="C171" s="17" t="s">
        <v>32</v>
      </c>
      <c r="D171" s="57"/>
      <c r="E171" s="2"/>
      <c r="F171" s="2"/>
      <c r="G171" s="63"/>
      <c r="H171" s="2"/>
      <c r="I171" s="20"/>
      <c r="J171" s="21"/>
      <c r="K171" s="21"/>
      <c r="L171" s="22"/>
      <c r="M171" s="2"/>
      <c r="N171" s="23"/>
      <c r="O171" s="19"/>
      <c r="P171" s="19"/>
      <c r="Q171" s="19"/>
      <c r="R171" s="33"/>
      <c r="T171" s="57"/>
      <c r="U171" s="2"/>
      <c r="V171" s="2"/>
      <c r="W171" s="199">
        <f>[2]SA!M58</f>
        <v>363</v>
      </c>
      <c r="X171" s="198"/>
      <c r="Y171" s="198"/>
      <c r="Z171" s="198"/>
      <c r="AA171" s="274"/>
      <c r="AB171" s="21"/>
      <c r="AC171" s="21"/>
      <c r="AD171" s="21"/>
      <c r="AE171" s="21"/>
      <c r="AF171" s="70"/>
      <c r="AG171" s="20"/>
      <c r="AH171" s="21"/>
      <c r="AI171" s="21"/>
      <c r="AJ171" s="22">
        <f t="shared" si="27"/>
        <v>363</v>
      </c>
      <c r="AK171" s="29"/>
      <c r="AL171" s="19"/>
      <c r="AM171" s="57"/>
      <c r="AN171" s="198"/>
      <c r="AO171" s="2"/>
      <c r="AP171" s="63"/>
      <c r="AQ171" s="68"/>
      <c r="AR171" s="21"/>
      <c r="AS171" s="21"/>
      <c r="AT171" s="21"/>
      <c r="AU171" s="240"/>
      <c r="AV171" s="19"/>
      <c r="AW171" s="19"/>
      <c r="AX171" s="68"/>
      <c r="AY171" s="238"/>
      <c r="BB171" s="19"/>
      <c r="BC171" s="24"/>
      <c r="BG171" s="147" t="s">
        <v>11</v>
      </c>
      <c r="BH171" s="52">
        <f>Q187/1000</f>
        <v>196.65707239801716</v>
      </c>
      <c r="BI171" s="52">
        <f>AJ187/1000</f>
        <v>0</v>
      </c>
      <c r="BJ171" s="52">
        <f>BB187/1000</f>
        <v>0</v>
      </c>
      <c r="BK171" s="137">
        <f t="shared" si="30"/>
        <v>0</v>
      </c>
      <c r="BL171" s="52">
        <f t="shared" si="31"/>
        <v>196.65707239801716</v>
      </c>
    </row>
    <row r="172" spans="1:80" s="90" customFormat="1">
      <c r="A172" s="699"/>
      <c r="B172" s="91" t="s">
        <v>42</v>
      </c>
      <c r="C172" s="92"/>
      <c r="D172" s="93"/>
      <c r="E172" s="94"/>
      <c r="F172" s="94"/>
      <c r="G172" s="95"/>
      <c r="H172" s="94"/>
      <c r="I172" s="96"/>
      <c r="J172" s="97"/>
      <c r="K172" s="97"/>
      <c r="L172" s="98"/>
      <c r="M172" s="94"/>
      <c r="N172" s="96"/>
      <c r="O172" s="97"/>
      <c r="P172" s="97"/>
      <c r="Q172" s="97"/>
      <c r="R172" s="99"/>
      <c r="T172" s="93"/>
      <c r="U172" s="94"/>
      <c r="V172" s="94"/>
      <c r="W172" s="211">
        <f>SUM(W169:W171)</f>
        <v>8846</v>
      </c>
      <c r="X172" s="289"/>
      <c r="Y172" s="289"/>
      <c r="Z172" s="289"/>
      <c r="AA172" s="280"/>
      <c r="AB172" s="97"/>
      <c r="AC172" s="97"/>
      <c r="AD172" s="97"/>
      <c r="AE172" s="97"/>
      <c r="AF172" s="101"/>
      <c r="AG172" s="96"/>
      <c r="AH172" s="97"/>
      <c r="AI172" s="97"/>
      <c r="AJ172" s="98">
        <f t="shared" si="27"/>
        <v>8846</v>
      </c>
      <c r="AK172" s="102">
        <f>SUM(AK169:AK171)</f>
        <v>0</v>
      </c>
      <c r="AL172" s="103"/>
      <c r="AM172" s="93"/>
      <c r="AN172" s="204"/>
      <c r="AO172" s="94"/>
      <c r="AP172" s="95"/>
      <c r="AQ172" s="100"/>
      <c r="AR172" s="97"/>
      <c r="AS172" s="128"/>
      <c r="AT172" s="128"/>
      <c r="AU172" s="104"/>
      <c r="AV172" s="97"/>
      <c r="AW172" s="97"/>
      <c r="AX172" s="100"/>
      <c r="AY172" s="239"/>
      <c r="BB172" s="97"/>
      <c r="BC172" s="105"/>
      <c r="BG172" s="147" t="s">
        <v>1</v>
      </c>
      <c r="BH172" s="52">
        <f>Q188/1000</f>
        <v>0</v>
      </c>
      <c r="BI172" s="52">
        <f>AJ188/1000</f>
        <v>260.91300000000001</v>
      </c>
      <c r="BJ172" s="52">
        <f>BB188/1000</f>
        <v>0</v>
      </c>
      <c r="BK172" s="137">
        <f t="shared" si="30"/>
        <v>1</v>
      </c>
      <c r="BL172" s="52">
        <f t="shared" si="31"/>
        <v>260.91300000000001</v>
      </c>
      <c r="BM172" s="6"/>
      <c r="BN172" s="6"/>
      <c r="BO172" s="6"/>
      <c r="BU172" s="6"/>
      <c r="BV172" s="6"/>
      <c r="BW172" s="6"/>
      <c r="BX172" s="6"/>
      <c r="BY172" s="6"/>
      <c r="BZ172" s="6"/>
      <c r="CA172" s="6"/>
      <c r="CB172" s="6"/>
    </row>
    <row r="173" spans="1:80">
      <c r="A173" s="699"/>
      <c r="B173" s="23"/>
      <c r="C173" s="17" t="s">
        <v>33</v>
      </c>
      <c r="D173" s="57"/>
      <c r="E173" s="2"/>
      <c r="F173" s="2"/>
      <c r="G173" s="63"/>
      <c r="H173" s="2"/>
      <c r="I173" s="20"/>
      <c r="J173" s="21"/>
      <c r="K173" s="21"/>
      <c r="L173" s="22"/>
      <c r="M173" s="2"/>
      <c r="N173" s="23"/>
      <c r="O173" s="19"/>
      <c r="P173" s="19"/>
      <c r="Q173" s="19"/>
      <c r="R173" s="33"/>
      <c r="T173" s="57"/>
      <c r="U173" s="2"/>
      <c r="V173" s="2"/>
      <c r="W173" s="199">
        <f>[2]SA!M59</f>
        <v>5403</v>
      </c>
      <c r="X173" s="198"/>
      <c r="Y173" s="198"/>
      <c r="Z173" s="198"/>
      <c r="AA173" s="274"/>
      <c r="AB173" s="21"/>
      <c r="AC173" s="21"/>
      <c r="AD173" s="21"/>
      <c r="AE173" s="21"/>
      <c r="AF173" s="70"/>
      <c r="AG173" s="20"/>
      <c r="AH173" s="21"/>
      <c r="AI173" s="21"/>
      <c r="AJ173" s="22">
        <f t="shared" si="27"/>
        <v>5403</v>
      </c>
      <c r="AK173" s="29"/>
      <c r="AL173" s="19"/>
      <c r="AM173" s="57"/>
      <c r="AN173" s="198"/>
      <c r="AO173" s="2"/>
      <c r="AP173" s="63"/>
      <c r="AQ173" s="68"/>
      <c r="AR173" s="21"/>
      <c r="AS173" s="21"/>
      <c r="AT173" s="21"/>
      <c r="AU173" s="240"/>
      <c r="AV173" s="19"/>
      <c r="AW173" s="19"/>
      <c r="AX173" s="68"/>
      <c r="AY173" s="238"/>
      <c r="BB173" s="19"/>
      <c r="BC173" s="24"/>
      <c r="BG173" s="142"/>
      <c r="BU173" s="90"/>
      <c r="BV173" s="90"/>
      <c r="BW173" s="90"/>
      <c r="BX173" s="90"/>
      <c r="BY173" s="90"/>
      <c r="BZ173" s="90"/>
      <c r="CA173" s="90"/>
      <c r="CB173" s="90"/>
    </row>
    <row r="174" spans="1:80">
      <c r="A174" s="699"/>
      <c r="B174" s="23"/>
      <c r="C174" s="17" t="s">
        <v>34</v>
      </c>
      <c r="D174" s="57"/>
      <c r="E174" s="2"/>
      <c r="F174" s="2"/>
      <c r="G174" s="63"/>
      <c r="H174" s="2"/>
      <c r="I174" s="20"/>
      <c r="J174" s="21"/>
      <c r="K174" s="21"/>
      <c r="L174" s="22"/>
      <c r="M174" s="2"/>
      <c r="N174" s="23"/>
      <c r="O174" s="19"/>
      <c r="P174" s="19"/>
      <c r="Q174" s="19"/>
      <c r="R174" s="33"/>
      <c r="T174" s="57"/>
      <c r="U174" s="2"/>
      <c r="V174" s="2"/>
      <c r="W174" s="199">
        <f>[2]SA!M60</f>
        <v>1542</v>
      </c>
      <c r="X174" s="198"/>
      <c r="Y174" s="198"/>
      <c r="Z174" s="198"/>
      <c r="AA174" s="274"/>
      <c r="AB174" s="21"/>
      <c r="AC174" s="21"/>
      <c r="AD174" s="21"/>
      <c r="AE174" s="21"/>
      <c r="AF174" s="70"/>
      <c r="AG174" s="20"/>
      <c r="AH174" s="21"/>
      <c r="AI174" s="21"/>
      <c r="AJ174" s="22">
        <f t="shared" si="27"/>
        <v>1542</v>
      </c>
      <c r="AK174" s="29"/>
      <c r="AL174" s="19"/>
      <c r="AM174" s="57"/>
      <c r="AN174" s="198"/>
      <c r="AO174" s="2"/>
      <c r="AP174" s="63"/>
      <c r="AQ174" s="68"/>
      <c r="AR174" s="21"/>
      <c r="AS174" s="21"/>
      <c r="AT174" s="21"/>
      <c r="AU174" s="240"/>
      <c r="AV174" s="19"/>
      <c r="AW174" s="19"/>
      <c r="AX174" s="68"/>
      <c r="AY174" s="238"/>
      <c r="BB174" s="19"/>
      <c r="BC174" s="24"/>
    </row>
    <row r="175" spans="1:80">
      <c r="A175" s="699"/>
      <c r="B175" s="23"/>
      <c r="C175" s="17" t="s">
        <v>35</v>
      </c>
      <c r="D175" s="57"/>
      <c r="E175" s="2"/>
      <c r="F175" s="2"/>
      <c r="G175" s="63"/>
      <c r="H175" s="2"/>
      <c r="I175" s="20"/>
      <c r="J175" s="21"/>
      <c r="K175" s="21"/>
      <c r="L175" s="22"/>
      <c r="M175" s="2"/>
      <c r="N175" s="23"/>
      <c r="O175" s="19"/>
      <c r="P175" s="19"/>
      <c r="Q175" s="19"/>
      <c r="R175" s="33"/>
      <c r="T175" s="57"/>
      <c r="U175" s="2"/>
      <c r="V175" s="2"/>
      <c r="W175" s="199">
        <f>[2]SA!M61</f>
        <v>167</v>
      </c>
      <c r="X175" s="198"/>
      <c r="Y175" s="198"/>
      <c r="Z175" s="198"/>
      <c r="AA175" s="274"/>
      <c r="AB175" s="21"/>
      <c r="AC175" s="21"/>
      <c r="AD175" s="21"/>
      <c r="AE175" s="21"/>
      <c r="AF175" s="70"/>
      <c r="AG175" s="20"/>
      <c r="AH175" s="21"/>
      <c r="AI175" s="21"/>
      <c r="AJ175" s="22">
        <f t="shared" si="27"/>
        <v>167</v>
      </c>
      <c r="AK175" s="29"/>
      <c r="AL175" s="19"/>
      <c r="AM175" s="57"/>
      <c r="AN175" s="198"/>
      <c r="AO175" s="2"/>
      <c r="AP175" s="63"/>
      <c r="AQ175" s="68"/>
      <c r="AR175" s="21"/>
      <c r="AS175" s="21"/>
      <c r="AT175" s="21"/>
      <c r="AU175" s="240"/>
      <c r="AV175" s="19"/>
      <c r="AW175" s="19"/>
      <c r="AX175" s="68"/>
      <c r="AY175" s="238"/>
      <c r="BB175" s="19"/>
      <c r="BC175" s="24"/>
    </row>
    <row r="176" spans="1:80">
      <c r="A176" s="699"/>
      <c r="B176" s="23"/>
      <c r="C176" s="17" t="s">
        <v>36</v>
      </c>
      <c r="D176" s="57"/>
      <c r="E176" s="2"/>
      <c r="F176" s="2"/>
      <c r="G176" s="63"/>
      <c r="H176" s="2"/>
      <c r="I176" s="20"/>
      <c r="J176" s="21"/>
      <c r="K176" s="21"/>
      <c r="L176" s="22"/>
      <c r="M176" s="2"/>
      <c r="N176" s="23"/>
      <c r="O176" s="19"/>
      <c r="P176" s="19"/>
      <c r="Q176" s="19"/>
      <c r="R176" s="33"/>
      <c r="T176" s="57"/>
      <c r="U176" s="2"/>
      <c r="V176" s="2"/>
      <c r="W176" s="199">
        <f>[2]SA!M62</f>
        <v>922</v>
      </c>
      <c r="X176" s="198"/>
      <c r="Y176" s="198"/>
      <c r="Z176" s="198"/>
      <c r="AA176" s="274"/>
      <c r="AB176" s="21"/>
      <c r="AC176" s="21"/>
      <c r="AD176" s="21"/>
      <c r="AE176" s="21"/>
      <c r="AF176" s="70"/>
      <c r="AG176" s="20"/>
      <c r="AH176" s="21"/>
      <c r="AI176" s="21"/>
      <c r="AJ176" s="22">
        <f t="shared" si="27"/>
        <v>922</v>
      </c>
      <c r="AK176" s="29"/>
      <c r="AL176" s="19"/>
      <c r="AM176" s="57"/>
      <c r="AN176" s="198"/>
      <c r="AO176" s="2"/>
      <c r="AP176" s="63"/>
      <c r="AQ176" s="68"/>
      <c r="AR176" s="21"/>
      <c r="AS176" s="21"/>
      <c r="AT176" s="21"/>
      <c r="AU176" s="240"/>
      <c r="AV176" s="19"/>
      <c r="AW176" s="19"/>
      <c r="AX176" s="68"/>
      <c r="AY176" s="238"/>
      <c r="BB176" s="19"/>
      <c r="BC176" s="24"/>
    </row>
    <row r="177" spans="1:80" s="90" customFormat="1">
      <c r="A177" s="699"/>
      <c r="B177" s="91" t="s">
        <v>43</v>
      </c>
      <c r="C177" s="92"/>
      <c r="D177" s="93"/>
      <c r="E177" s="94"/>
      <c r="F177" s="94"/>
      <c r="G177" s="95"/>
      <c r="H177" s="94"/>
      <c r="I177" s="96"/>
      <c r="J177" s="97"/>
      <c r="K177" s="97"/>
      <c r="L177" s="98"/>
      <c r="M177" s="94"/>
      <c r="N177" s="96"/>
      <c r="O177" s="97"/>
      <c r="P177" s="97"/>
      <c r="Q177" s="97"/>
      <c r="R177" s="99"/>
      <c r="T177" s="93"/>
      <c r="U177" s="94"/>
      <c r="V177" s="94"/>
      <c r="W177" s="211">
        <f>SUM(W173:W176)</f>
        <v>8034</v>
      </c>
      <c r="X177" s="289"/>
      <c r="Y177" s="289"/>
      <c r="Z177" s="289"/>
      <c r="AA177" s="280"/>
      <c r="AB177" s="97"/>
      <c r="AC177" s="97"/>
      <c r="AD177" s="97"/>
      <c r="AE177" s="97"/>
      <c r="AF177" s="101"/>
      <c r="AG177" s="96"/>
      <c r="AH177" s="97"/>
      <c r="AI177" s="97"/>
      <c r="AJ177" s="98">
        <f t="shared" si="27"/>
        <v>8034</v>
      </c>
      <c r="AK177" s="102">
        <f>SUM(AK173:AK176)</f>
        <v>0</v>
      </c>
      <c r="AL177" s="103"/>
      <c r="AM177" s="93"/>
      <c r="AN177" s="204"/>
      <c r="AO177" s="94"/>
      <c r="AP177" s="95"/>
      <c r="AQ177" s="100"/>
      <c r="AR177" s="97"/>
      <c r="AS177" s="97"/>
      <c r="AT177" s="97"/>
      <c r="AU177" s="104"/>
      <c r="AV177" s="97"/>
      <c r="AW177" s="97"/>
      <c r="AX177" s="100"/>
      <c r="AY177" s="239"/>
      <c r="BB177" s="97"/>
      <c r="BC177" s="105"/>
      <c r="BG177" s="143"/>
      <c r="BU177" s="6"/>
      <c r="BV177" s="6"/>
      <c r="BW177" s="6"/>
      <c r="BX177" s="6"/>
      <c r="BY177" s="6"/>
      <c r="BZ177" s="6"/>
      <c r="CA177" s="6"/>
      <c r="CB177" s="6"/>
    </row>
    <row r="178" spans="1:80" s="106" customFormat="1">
      <c r="A178" s="699"/>
      <c r="B178" s="107" t="s">
        <v>67</v>
      </c>
      <c r="C178" s="108"/>
      <c r="D178" s="109"/>
      <c r="E178" s="110"/>
      <c r="F178" s="110"/>
      <c r="G178" s="111"/>
      <c r="H178" s="110"/>
      <c r="I178" s="112">
        <f>D191*[2]SA!$I$368</f>
        <v>33426.633689916584</v>
      </c>
      <c r="J178" s="113">
        <f>(E191-G186)*[2]SA!L$229</f>
        <v>23854.644604669091</v>
      </c>
      <c r="K178" s="113">
        <f>F191*[2]SA!M$229</f>
        <v>7185.7999252056852</v>
      </c>
      <c r="L178" s="114">
        <f>SUM(I178:K178)</f>
        <v>64467.078219791358</v>
      </c>
      <c r="M178" s="110"/>
      <c r="N178" s="112">
        <f t="shared" ref="N178:P179" si="32">I178-AU178</f>
        <v>33426.633689916584</v>
      </c>
      <c r="O178" s="113">
        <f t="shared" si="32"/>
        <v>23854.644604669091</v>
      </c>
      <c r="P178" s="113">
        <f t="shared" si="32"/>
        <v>7185.7999252056852</v>
      </c>
      <c r="Q178" s="114">
        <f>SUM(N178:P178)</f>
        <v>64467.078219791358</v>
      </c>
      <c r="R178" s="115">
        <f>Q178/[2]Popn!$F$40*1000</f>
        <v>40.871753573930768</v>
      </c>
      <c r="T178" s="109"/>
      <c r="U178" s="110"/>
      <c r="V178" s="110"/>
      <c r="W178" s="203">
        <f>W172+W177</f>
        <v>16880</v>
      </c>
      <c r="X178" s="130"/>
      <c r="Y178" s="130"/>
      <c r="Z178" s="130"/>
      <c r="AA178" s="276"/>
      <c r="AB178" s="113"/>
      <c r="AC178" s="113"/>
      <c r="AD178" s="113"/>
      <c r="AE178" s="113"/>
      <c r="AF178" s="117"/>
      <c r="AG178" s="112"/>
      <c r="AH178" s="113"/>
      <c r="AI178" s="113"/>
      <c r="AJ178" s="114">
        <f t="shared" si="27"/>
        <v>16880</v>
      </c>
      <c r="AK178" s="115">
        <f>AK172+AK177</f>
        <v>0</v>
      </c>
      <c r="AL178" s="119"/>
      <c r="AM178" s="109"/>
      <c r="AN178" s="130">
        <f>[2]SA!$M$162*[2]SA!$M$154</f>
        <v>0</v>
      </c>
      <c r="AO178" s="110"/>
      <c r="AP178" s="111"/>
      <c r="AQ178" s="116"/>
      <c r="AR178" s="113"/>
      <c r="AS178" s="113"/>
      <c r="AT178" s="113"/>
      <c r="AU178" s="120"/>
      <c r="AV178" s="113"/>
      <c r="AW178" s="113"/>
      <c r="AX178" s="116"/>
      <c r="AY178" s="237"/>
      <c r="AZ178" s="242">
        <f>AN178</f>
        <v>0</v>
      </c>
      <c r="BB178" s="113"/>
      <c r="BC178" s="118">
        <f>BB178/[2]Popn!$F$40*1000</f>
        <v>0</v>
      </c>
      <c r="BG178" s="144"/>
      <c r="BU178" s="90"/>
      <c r="BV178" s="90"/>
      <c r="BW178" s="90"/>
      <c r="BX178" s="90"/>
      <c r="BY178" s="90"/>
      <c r="BZ178" s="90"/>
      <c r="CA178" s="90"/>
      <c r="CB178" s="90"/>
    </row>
    <row r="179" spans="1:80" s="106" customFormat="1">
      <c r="A179" s="699"/>
      <c r="B179" s="37" t="s">
        <v>8</v>
      </c>
      <c r="C179" s="129" t="s">
        <v>8</v>
      </c>
      <c r="D179" s="109"/>
      <c r="E179" s="110"/>
      <c r="F179" s="110"/>
      <c r="G179" s="111"/>
      <c r="H179" s="110"/>
      <c r="I179" s="112">
        <f>D191*[2]SA!$I$369</f>
        <v>14615.309806772528</v>
      </c>
      <c r="J179" s="113">
        <f>(E191-G186)*[2]SA!L$230</f>
        <v>2397.3431879748932</v>
      </c>
      <c r="K179" s="113">
        <f>F191*[2]SA!M$230</f>
        <v>749.88780852655202</v>
      </c>
      <c r="L179" s="114">
        <f>SUM(I179:K179)</f>
        <v>17762.540803273972</v>
      </c>
      <c r="M179" s="110"/>
      <c r="N179" s="112">
        <f t="shared" si="32"/>
        <v>14615.309806772528</v>
      </c>
      <c r="O179" s="113">
        <f t="shared" si="32"/>
        <v>2397.3431879748932</v>
      </c>
      <c r="P179" s="113">
        <f t="shared" si="32"/>
        <v>749.88780852655202</v>
      </c>
      <c r="Q179" s="114">
        <f>SUM(N179:P179)</f>
        <v>17762.540803273972</v>
      </c>
      <c r="R179" s="115">
        <f>Q179/[2]Popn!$F$40*1000</f>
        <v>11.261347816681829</v>
      </c>
      <c r="T179" s="109"/>
      <c r="U179" s="110"/>
      <c r="V179" s="110"/>
      <c r="W179" s="199">
        <f>[2]SA!M63</f>
        <v>50110</v>
      </c>
      <c r="X179" s="198"/>
      <c r="Y179" s="198"/>
      <c r="Z179" s="198"/>
      <c r="AA179" s="276"/>
      <c r="AB179" s="113"/>
      <c r="AC179" s="113"/>
      <c r="AD179" s="113"/>
      <c r="AE179" s="113"/>
      <c r="AF179" s="117"/>
      <c r="AG179" s="112"/>
      <c r="AH179" s="113"/>
      <c r="AI179" s="113"/>
      <c r="AJ179" s="114">
        <f t="shared" si="27"/>
        <v>50110</v>
      </c>
      <c r="AK179" s="118">
        <f>AJ179/[2]Popn!$F$40*1000</f>
        <v>31.76944927776966</v>
      </c>
      <c r="AL179" s="119"/>
      <c r="AM179" s="109"/>
      <c r="AN179" s="130"/>
      <c r="AO179" s="110"/>
      <c r="AP179" s="111"/>
      <c r="AQ179" s="116"/>
      <c r="AR179" s="113"/>
      <c r="AS179" s="113"/>
      <c r="AT179" s="113"/>
      <c r="AU179" s="120"/>
      <c r="AV179" s="113"/>
      <c r="AW179" s="113"/>
      <c r="AX179" s="116"/>
      <c r="AY179" s="237"/>
      <c r="BB179" s="113"/>
      <c r="BC179" s="121"/>
      <c r="BG179" s="144"/>
    </row>
    <row r="180" spans="1:80">
      <c r="A180" s="699"/>
      <c r="B180" s="23" t="s">
        <v>7</v>
      </c>
      <c r="C180" s="17" t="s">
        <v>9</v>
      </c>
      <c r="D180" s="57"/>
      <c r="E180" s="2"/>
      <c r="F180" s="2"/>
      <c r="G180" s="63"/>
      <c r="H180" s="2"/>
      <c r="I180" s="20">
        <f>D191*[2]SA!$I$370</f>
        <v>15048.700932031561</v>
      </c>
      <c r="J180" s="21"/>
      <c r="K180" s="21"/>
      <c r="L180" s="22"/>
      <c r="M180" s="2"/>
      <c r="N180" s="20"/>
      <c r="O180" s="21"/>
      <c r="P180" s="21"/>
      <c r="Q180" s="22"/>
      <c r="R180" s="34"/>
      <c r="T180" s="57"/>
      <c r="U180" s="2"/>
      <c r="V180" s="2"/>
      <c r="W180" s="199">
        <f>[2]SA!M64</f>
        <v>2348</v>
      </c>
      <c r="X180" s="198"/>
      <c r="Y180" s="198"/>
      <c r="Z180" s="198"/>
      <c r="AA180" s="274"/>
      <c r="AB180" s="21"/>
      <c r="AC180" s="21"/>
      <c r="AD180" s="21"/>
      <c r="AE180" s="21"/>
      <c r="AF180" s="70"/>
      <c r="AG180" s="20"/>
      <c r="AH180" s="21"/>
      <c r="AI180" s="21"/>
      <c r="AJ180" s="22">
        <f t="shared" si="27"/>
        <v>2348</v>
      </c>
      <c r="AK180" s="29">
        <f>AJ180/[2]Popn!$F$40*1000</f>
        <v>1.488618377653226</v>
      </c>
      <c r="AL180" s="19"/>
      <c r="AM180" s="57"/>
      <c r="AN180" s="198">
        <f>[2]SA!$M$163*[2]SA!$M$154</f>
        <v>0</v>
      </c>
      <c r="AO180" s="2"/>
      <c r="AP180" s="63"/>
      <c r="AQ180" s="68"/>
      <c r="AR180" s="21"/>
      <c r="AS180" s="35"/>
      <c r="AT180" s="21"/>
      <c r="AU180" s="25"/>
      <c r="AV180" s="21"/>
      <c r="AW180" s="21"/>
      <c r="AX180" s="68"/>
      <c r="AY180" s="238"/>
      <c r="AZ180" s="52">
        <f>AN180</f>
        <v>0</v>
      </c>
      <c r="BB180" s="21"/>
      <c r="BC180" s="29"/>
      <c r="BU180" s="106"/>
      <c r="BV180" s="106"/>
      <c r="BW180" s="106"/>
      <c r="BX180" s="106"/>
      <c r="BY180" s="106"/>
      <c r="BZ180" s="106"/>
      <c r="CA180" s="106"/>
      <c r="CB180" s="106"/>
    </row>
    <row r="181" spans="1:80">
      <c r="A181" s="699"/>
      <c r="B181" s="23"/>
      <c r="C181" s="17" t="s">
        <v>10</v>
      </c>
      <c r="D181" s="57"/>
      <c r="E181" s="2"/>
      <c r="F181" s="2"/>
      <c r="G181" s="63"/>
      <c r="H181" s="2"/>
      <c r="I181" s="20">
        <f>D191*[2]SA!$I$371</f>
        <v>0</v>
      </c>
      <c r="J181" s="21"/>
      <c r="K181" s="21"/>
      <c r="L181" s="22"/>
      <c r="M181" s="2"/>
      <c r="N181" s="20"/>
      <c r="O181" s="21"/>
      <c r="P181" s="21"/>
      <c r="Q181" s="22"/>
      <c r="R181" s="33"/>
      <c r="T181" s="57"/>
      <c r="U181" s="2"/>
      <c r="V181" s="2"/>
      <c r="W181" s="199">
        <f>[2]SA!M65</f>
        <v>1486</v>
      </c>
      <c r="X181" s="198"/>
      <c r="Y181" s="198"/>
      <c r="Z181" s="198"/>
      <c r="AA181" s="274"/>
      <c r="AB181" s="21"/>
      <c r="AC181" s="21"/>
      <c r="AD181" s="21"/>
      <c r="AE181" s="21"/>
      <c r="AF181" s="70"/>
      <c r="AG181" s="20"/>
      <c r="AH181" s="21"/>
      <c r="AI181" s="21"/>
      <c r="AJ181" s="22">
        <f t="shared" si="27"/>
        <v>1486</v>
      </c>
      <c r="AK181" s="29">
        <f>AJ181/[2]Popn!$F$40*1000</f>
        <v>0.94211537870216955</v>
      </c>
      <c r="AL181" s="19"/>
      <c r="AM181" s="57"/>
      <c r="AN181" s="2"/>
      <c r="AO181" s="2"/>
      <c r="AP181" s="63"/>
      <c r="AQ181" s="68"/>
      <c r="AR181" s="21"/>
      <c r="AS181" s="21"/>
      <c r="AT181" s="21"/>
      <c r="AU181" s="240"/>
      <c r="AV181" s="21"/>
      <c r="AW181" s="19"/>
      <c r="AX181" s="68"/>
      <c r="AY181" s="238"/>
      <c r="BB181" s="21"/>
      <c r="BC181" s="29"/>
    </row>
    <row r="182" spans="1:80" s="106" customFormat="1">
      <c r="A182" s="699"/>
      <c r="B182" s="107" t="s">
        <v>67</v>
      </c>
      <c r="C182" s="108"/>
      <c r="D182" s="109"/>
      <c r="E182" s="110"/>
      <c r="F182" s="110"/>
      <c r="G182" s="111"/>
      <c r="H182" s="110"/>
      <c r="I182" s="112">
        <f>SUM(I180:I181)</f>
        <v>15048.700932031561</v>
      </c>
      <c r="J182" s="113">
        <f>(E191-G186)*[2]SA!L$231</f>
        <v>13973.703086664464</v>
      </c>
      <c r="K182" s="113">
        <f>F191*[2]SA!M$231</f>
        <v>9561.0695587135378</v>
      </c>
      <c r="L182" s="114">
        <f>SUM(I182:K182)</f>
        <v>38583.473577409561</v>
      </c>
      <c r="M182" s="110"/>
      <c r="N182" s="112">
        <f>I182-AU182</f>
        <v>13208.318331757415</v>
      </c>
      <c r="O182" s="113">
        <f>J182-AV182</f>
        <v>12264.787470742083</v>
      </c>
      <c r="P182" s="113">
        <f>K182-AW182</f>
        <v>8391.7974643752423</v>
      </c>
      <c r="Q182" s="114">
        <f>SUM(N182:P182)</f>
        <v>33864.903266874739</v>
      </c>
      <c r="R182" s="115">
        <f>Q182/[2]Popn!$F$40*1000</f>
        <v>21.470152197835823</v>
      </c>
      <c r="T182" s="109"/>
      <c r="U182" s="110"/>
      <c r="V182" s="110"/>
      <c r="W182" s="203">
        <f>SUM(W180:W181)</f>
        <v>3834</v>
      </c>
      <c r="X182" s="130"/>
      <c r="Y182" s="130"/>
      <c r="Z182" s="130"/>
      <c r="AA182" s="276"/>
      <c r="AB182" s="113"/>
      <c r="AC182" s="113"/>
      <c r="AD182" s="113"/>
      <c r="AE182" s="113"/>
      <c r="AF182" s="117"/>
      <c r="AG182" s="112"/>
      <c r="AH182" s="113"/>
      <c r="AI182" s="113"/>
      <c r="AJ182" s="114">
        <f t="shared" si="27"/>
        <v>3834</v>
      </c>
      <c r="AK182" s="118">
        <f>SUM(AK180:AK181)</f>
        <v>2.4307337563553957</v>
      </c>
      <c r="AL182" s="119"/>
      <c r="AM182" s="109"/>
      <c r="AN182" s="110"/>
      <c r="AO182" s="110"/>
      <c r="AP182" s="111"/>
      <c r="AQ182" s="116"/>
      <c r="AR182" s="113">
        <f>L182*'[2]Lfill en &amp; composn'!$D$25</f>
        <v>6076.897088442006</v>
      </c>
      <c r="AS182" s="113">
        <f>AR182/SUM($AR$7:$AR$49)</f>
        <v>8.5421720923352776E-2</v>
      </c>
      <c r="AT182" s="113">
        <f>AS182*'[2]Lfill en &amp; composn'!$F$64/'[2]Lfill en &amp; composn'!$B$25</f>
        <v>4718.5703105348239</v>
      </c>
      <c r="AU182" s="120">
        <f>$AT182*I182/SUM($I182:$K182)</f>
        <v>1840.3826002741471</v>
      </c>
      <c r="AV182" s="113">
        <f>$AT182*J182/SUM($I182:$K182)</f>
        <v>1708.9156159223808</v>
      </c>
      <c r="AW182" s="113">
        <f>$AT182*K182/SUM($I182:$K182)</f>
        <v>1169.2720943382963</v>
      </c>
      <c r="AX182" s="116"/>
      <c r="AY182" s="241">
        <f>AU182</f>
        <v>1840.3826002741471</v>
      </c>
      <c r="AZ182" s="242">
        <f>AV182+AZ180</f>
        <v>1708.9156159223808</v>
      </c>
      <c r="BA182" s="242">
        <f>AW182</f>
        <v>1169.2720943382963</v>
      </c>
      <c r="BB182" s="114">
        <f>AT182+AP182</f>
        <v>4718.5703105348239</v>
      </c>
      <c r="BC182" s="118">
        <f>BB182/[2]Popn!$F$40*1000</f>
        <v>2.9915462012397906</v>
      </c>
      <c r="BD182" s="122"/>
      <c r="BG182" s="144"/>
      <c r="BU182" s="6"/>
      <c r="BV182" s="6"/>
      <c r="BW182" s="6"/>
      <c r="BX182" s="6"/>
      <c r="BY182" s="6"/>
      <c r="BZ182" s="6"/>
      <c r="CA182" s="6"/>
      <c r="CB182" s="6"/>
    </row>
    <row r="183" spans="1:80">
      <c r="A183" s="699"/>
      <c r="B183" s="23" t="s">
        <v>11</v>
      </c>
      <c r="C183" s="17" t="s">
        <v>12</v>
      </c>
      <c r="D183" s="57"/>
      <c r="E183" s="2"/>
      <c r="F183" s="2"/>
      <c r="G183" s="63"/>
      <c r="H183" s="2"/>
      <c r="I183" s="20"/>
      <c r="J183" s="21"/>
      <c r="K183" s="21"/>
      <c r="L183" s="22"/>
      <c r="M183" s="2"/>
      <c r="N183" s="20"/>
      <c r="O183" s="21"/>
      <c r="P183" s="21"/>
      <c r="Q183" s="22"/>
      <c r="R183" s="33"/>
      <c r="T183" s="57"/>
      <c r="U183" s="2"/>
      <c r="V183" s="2"/>
      <c r="W183" s="199"/>
      <c r="X183" s="198"/>
      <c r="Y183" s="198"/>
      <c r="Z183" s="198"/>
      <c r="AA183" s="274"/>
      <c r="AB183" s="21"/>
      <c r="AC183" s="21"/>
      <c r="AD183" s="21"/>
      <c r="AE183" s="21"/>
      <c r="AF183" s="70"/>
      <c r="AG183" s="20"/>
      <c r="AH183" s="21"/>
      <c r="AI183" s="21"/>
      <c r="AJ183" s="22">
        <f t="shared" si="27"/>
        <v>0</v>
      </c>
      <c r="AK183" s="29"/>
      <c r="AL183" s="19"/>
      <c r="AM183" s="57"/>
      <c r="AN183" s="2"/>
      <c r="AO183" s="2"/>
      <c r="AP183" s="63"/>
      <c r="AQ183" s="68"/>
      <c r="AR183" s="21"/>
      <c r="AS183" s="21"/>
      <c r="AT183" s="21"/>
      <c r="AU183" s="25"/>
      <c r="AV183" s="21"/>
      <c r="AW183" s="22"/>
      <c r="AX183" s="2"/>
      <c r="AY183" s="23"/>
      <c r="AZ183" s="19"/>
      <c r="BA183" s="19"/>
      <c r="BB183" s="19"/>
      <c r="BC183" s="24"/>
      <c r="BU183" s="106"/>
      <c r="BV183" s="106"/>
      <c r="BW183" s="106"/>
      <c r="BX183" s="106"/>
      <c r="BY183" s="106"/>
      <c r="BZ183" s="106"/>
      <c r="CA183" s="106"/>
      <c r="CB183" s="106"/>
    </row>
    <row r="184" spans="1:80">
      <c r="A184" s="699"/>
      <c r="B184" s="23"/>
      <c r="C184" s="17" t="s">
        <v>13</v>
      </c>
      <c r="D184" s="57"/>
      <c r="E184" s="2"/>
      <c r="F184" s="2"/>
      <c r="G184" s="156"/>
      <c r="H184" s="3"/>
      <c r="I184" s="20"/>
      <c r="J184" s="21"/>
      <c r="K184" s="21"/>
      <c r="L184" s="22"/>
      <c r="M184" s="83"/>
      <c r="N184" s="20"/>
      <c r="O184" s="21"/>
      <c r="P184" s="21"/>
      <c r="Q184" s="22"/>
      <c r="R184" s="34"/>
      <c r="T184" s="57"/>
      <c r="U184" s="2"/>
      <c r="V184" s="2"/>
      <c r="W184" s="199"/>
      <c r="X184" s="198"/>
      <c r="Y184" s="198"/>
      <c r="Z184" s="198"/>
      <c r="AA184" s="282"/>
      <c r="AB184" s="21"/>
      <c r="AC184" s="21"/>
      <c r="AD184" s="21"/>
      <c r="AE184" s="21"/>
      <c r="AF184" s="70"/>
      <c r="AG184" s="20"/>
      <c r="AH184" s="21"/>
      <c r="AI184" s="21"/>
      <c r="AJ184" s="22">
        <f t="shared" si="27"/>
        <v>0</v>
      </c>
      <c r="AK184" s="29"/>
      <c r="AL184" s="19"/>
      <c r="AM184" s="57"/>
      <c r="AN184" s="2"/>
      <c r="AO184" s="2"/>
      <c r="AP184" s="64"/>
      <c r="AQ184" s="69"/>
      <c r="AR184" s="21"/>
      <c r="AS184" s="21"/>
      <c r="AT184" s="21"/>
      <c r="AU184" s="25"/>
      <c r="AV184" s="21"/>
      <c r="AW184" s="22"/>
      <c r="AX184" s="2"/>
      <c r="AY184" s="20"/>
      <c r="AZ184" s="21"/>
      <c r="BA184" s="21"/>
      <c r="BB184" s="21"/>
      <c r="BC184" s="24"/>
    </row>
    <row r="185" spans="1:80">
      <c r="A185" s="699"/>
      <c r="B185" s="23"/>
      <c r="C185" s="17" t="s">
        <v>14</v>
      </c>
      <c r="D185" s="57"/>
      <c r="E185" s="2"/>
      <c r="F185" s="2"/>
      <c r="G185" s="156"/>
      <c r="H185" s="3"/>
      <c r="I185" s="20"/>
      <c r="J185" s="21"/>
      <c r="K185" s="21"/>
      <c r="L185" s="22"/>
      <c r="M185" s="83"/>
      <c r="N185" s="20"/>
      <c r="O185" s="21"/>
      <c r="P185" s="21"/>
      <c r="Q185" s="22"/>
      <c r="R185" s="34"/>
      <c r="T185" s="57"/>
      <c r="U185" s="2"/>
      <c r="V185" s="2"/>
      <c r="W185" s="199"/>
      <c r="X185" s="198"/>
      <c r="Y185" s="198"/>
      <c r="Z185" s="198"/>
      <c r="AA185" s="282"/>
      <c r="AB185" s="21"/>
      <c r="AC185" s="21"/>
      <c r="AD185" s="21"/>
      <c r="AE185" s="21"/>
      <c r="AF185" s="70"/>
      <c r="AG185" s="20"/>
      <c r="AH185" s="21"/>
      <c r="AI185" s="21"/>
      <c r="AJ185" s="22">
        <f t="shared" si="27"/>
        <v>0</v>
      </c>
      <c r="AK185" s="29"/>
      <c r="AL185" s="19"/>
      <c r="AM185" s="57"/>
      <c r="AN185" s="2"/>
      <c r="AO185" s="2"/>
      <c r="AP185" s="64"/>
      <c r="AQ185" s="69"/>
      <c r="AR185" s="21"/>
      <c r="AS185" s="21"/>
      <c r="AT185" s="21"/>
      <c r="AU185" s="25"/>
      <c r="AV185" s="21"/>
      <c r="AW185" s="22"/>
      <c r="AX185" s="2"/>
      <c r="AY185" s="23"/>
      <c r="AZ185" s="19"/>
      <c r="BA185" s="19"/>
      <c r="BB185" s="21"/>
      <c r="BC185" s="24"/>
    </row>
    <row r="186" spans="1:80">
      <c r="A186" s="699"/>
      <c r="B186" s="23"/>
      <c r="C186" s="17" t="s">
        <v>15</v>
      </c>
      <c r="D186" s="57"/>
      <c r="E186" s="2"/>
      <c r="F186" s="2"/>
      <c r="G186" s="156">
        <f>'[2]Haz-SA'!$P$21</f>
        <v>15531.41</v>
      </c>
      <c r="H186" s="3"/>
      <c r="I186" s="20"/>
      <c r="J186" s="21">
        <f>G186</f>
        <v>15531.41</v>
      </c>
      <c r="K186" s="21"/>
      <c r="L186" s="22"/>
      <c r="M186" s="83"/>
      <c r="N186" s="20"/>
      <c r="O186" s="21"/>
      <c r="P186" s="21"/>
      <c r="Q186" s="22"/>
      <c r="R186" s="34"/>
      <c r="T186" s="57"/>
      <c r="U186" s="2"/>
      <c r="V186" s="2"/>
      <c r="W186" s="199"/>
      <c r="X186" s="198"/>
      <c r="Y186" s="198"/>
      <c r="Z186" s="198"/>
      <c r="AA186" s="282"/>
      <c r="AB186" s="21"/>
      <c r="AC186" s="21"/>
      <c r="AD186" s="21"/>
      <c r="AE186" s="21"/>
      <c r="AF186" s="70"/>
      <c r="AG186" s="20"/>
      <c r="AH186" s="21"/>
      <c r="AI186" s="21"/>
      <c r="AJ186" s="22">
        <f t="shared" si="27"/>
        <v>0</v>
      </c>
      <c r="AK186" s="29"/>
      <c r="AL186" s="19"/>
      <c r="AM186" s="57"/>
      <c r="AN186" s="2"/>
      <c r="AO186" s="2"/>
      <c r="AP186" s="64"/>
      <c r="AQ186" s="69"/>
      <c r="AR186" s="21"/>
      <c r="AS186" s="21"/>
      <c r="AT186" s="21"/>
      <c r="AU186" s="25"/>
      <c r="AV186" s="21"/>
      <c r="AW186" s="22"/>
      <c r="AX186" s="2"/>
      <c r="AY186" s="23"/>
      <c r="AZ186" s="19"/>
      <c r="BA186" s="19"/>
      <c r="BB186" s="21"/>
      <c r="BC186" s="24"/>
    </row>
    <row r="187" spans="1:80" s="106" customFormat="1">
      <c r="A187" s="699"/>
      <c r="B187" s="107" t="s">
        <v>67</v>
      </c>
      <c r="C187" s="108"/>
      <c r="D187" s="109"/>
      <c r="E187" s="110"/>
      <c r="F187" s="110"/>
      <c r="G187" s="124"/>
      <c r="H187" s="125"/>
      <c r="I187" s="112">
        <f>D191*[2]SA!$I$372</f>
        <v>2089.9481123028459</v>
      </c>
      <c r="J187" s="113">
        <f>SUM(J183:J186)</f>
        <v>15531.41</v>
      </c>
      <c r="K187" s="113">
        <f>F191*[2]SA!M$232</f>
        <v>179035.71428571432</v>
      </c>
      <c r="L187" s="114">
        <f>SUM(I187:K187)</f>
        <v>196657.07239801716</v>
      </c>
      <c r="M187" s="110"/>
      <c r="N187" s="112">
        <f>I187-AU187</f>
        <v>2089.9481123028459</v>
      </c>
      <c r="O187" s="113">
        <f>J187-AV187</f>
        <v>15531.41</v>
      </c>
      <c r="P187" s="113">
        <f>K187-AW187</f>
        <v>179035.71428571432</v>
      </c>
      <c r="Q187" s="114">
        <f>SUM(N187:P187)</f>
        <v>196657.07239801716</v>
      </c>
      <c r="R187" s="115">
        <f>Q187/[2]Popn!$F$40*1000</f>
        <v>124.67944295876036</v>
      </c>
      <c r="T187" s="109"/>
      <c r="U187" s="110"/>
      <c r="V187" s="110"/>
      <c r="W187" s="203">
        <f>SUM(W183:W186)</f>
        <v>0</v>
      </c>
      <c r="X187" s="130"/>
      <c r="Y187" s="130"/>
      <c r="Z187" s="130"/>
      <c r="AA187" s="284"/>
      <c r="AB187" s="113"/>
      <c r="AC187" s="113"/>
      <c r="AD187" s="113"/>
      <c r="AE187" s="113"/>
      <c r="AF187" s="117"/>
      <c r="AG187" s="112"/>
      <c r="AH187" s="113"/>
      <c r="AI187" s="113"/>
      <c r="AJ187" s="114">
        <f t="shared" si="27"/>
        <v>0</v>
      </c>
      <c r="AK187" s="118">
        <f>SUM(AK183:AK186)</f>
        <v>0</v>
      </c>
      <c r="AL187" s="119"/>
      <c r="AM187" s="109"/>
      <c r="AN187" s="110"/>
      <c r="AO187" s="110"/>
      <c r="AP187" s="124"/>
      <c r="AQ187" s="126"/>
      <c r="AR187" s="113"/>
      <c r="AS187" s="113"/>
      <c r="AT187" s="113"/>
      <c r="AU187" s="120"/>
      <c r="AV187" s="113"/>
      <c r="AW187" s="114"/>
      <c r="AX187" s="110"/>
      <c r="AY187" s="127"/>
      <c r="AZ187" s="119"/>
      <c r="BA187" s="119"/>
      <c r="BB187" s="113"/>
      <c r="BC187" s="121"/>
      <c r="BG187" s="144"/>
      <c r="BU187" s="6"/>
      <c r="BV187" s="6"/>
      <c r="BW187" s="6"/>
      <c r="BX187" s="6"/>
      <c r="BY187" s="6"/>
      <c r="BZ187" s="6"/>
      <c r="CA187" s="6"/>
      <c r="CB187" s="6"/>
    </row>
    <row r="188" spans="1:80" s="106" customFormat="1" ht="13.5" thickBot="1">
      <c r="A188" s="699"/>
      <c r="B188" s="131" t="s">
        <v>37</v>
      </c>
      <c r="C188" s="132" t="s">
        <v>1</v>
      </c>
      <c r="D188" s="109"/>
      <c r="E188" s="110"/>
      <c r="F188" s="110"/>
      <c r="G188" s="111"/>
      <c r="H188" s="130">
        <f>'[2]Fly ash'!$F$227</f>
        <v>0</v>
      </c>
      <c r="I188" s="112"/>
      <c r="J188" s="113"/>
      <c r="K188" s="113"/>
      <c r="L188" s="114"/>
      <c r="M188" s="110"/>
      <c r="N188" s="127"/>
      <c r="O188" s="119"/>
      <c r="P188" s="119"/>
      <c r="Q188" s="113">
        <f>H188</f>
        <v>0</v>
      </c>
      <c r="R188" s="115">
        <f>Q188/[2]Popn!$F$40*1000</f>
        <v>0</v>
      </c>
      <c r="T188" s="109"/>
      <c r="U188" s="110"/>
      <c r="V188" s="110"/>
      <c r="W188" s="203">
        <f>[2]SA!M66</f>
        <v>260913</v>
      </c>
      <c r="X188" s="130"/>
      <c r="Y188" s="130"/>
      <c r="Z188" s="130"/>
      <c r="AA188" s="285"/>
      <c r="AB188" s="113"/>
      <c r="AC188" s="113"/>
      <c r="AD188" s="113"/>
      <c r="AE188" s="113"/>
      <c r="AF188" s="117"/>
      <c r="AG188" s="112"/>
      <c r="AH188" s="113"/>
      <c r="AI188" s="113"/>
      <c r="AJ188" s="114">
        <f t="shared" si="27"/>
        <v>260913</v>
      </c>
      <c r="AK188" s="115">
        <f>AJ188/[2]Popn!$F$40*1000</f>
        <v>165.41732826602905</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80" ht="13.5" thickBot="1">
      <c r="B189" s="19"/>
      <c r="C189" s="38"/>
      <c r="D189" s="57"/>
      <c r="E189" s="2"/>
      <c r="F189" s="2"/>
      <c r="G189" s="63"/>
      <c r="H189" s="2"/>
      <c r="I189" s="20"/>
      <c r="J189" s="21"/>
      <c r="K189" s="21"/>
      <c r="L189" s="22"/>
      <c r="M189" s="2"/>
      <c r="N189" s="23"/>
      <c r="O189" s="19"/>
      <c r="P189" s="19"/>
      <c r="Q189" s="19"/>
      <c r="R189" s="24"/>
      <c r="T189" s="57"/>
      <c r="U189" s="2"/>
      <c r="V189" s="2"/>
      <c r="W189" s="63"/>
      <c r="X189" s="2"/>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c r="CB189" s="106"/>
    </row>
    <row r="190" spans="1:80" ht="13.5" thickBot="1">
      <c r="C190" s="39" t="s">
        <v>38</v>
      </c>
      <c r="D190" s="58"/>
      <c r="E190" s="59"/>
      <c r="F190" s="2"/>
      <c r="G190" s="65"/>
      <c r="H190" s="2"/>
      <c r="I190" s="20"/>
      <c r="J190" s="21"/>
      <c r="K190" s="21"/>
      <c r="L190" s="22"/>
      <c r="M190" s="2"/>
      <c r="N190" s="23"/>
      <c r="O190" s="19"/>
      <c r="P190" s="19"/>
      <c r="Q190" s="19"/>
      <c r="R190" s="24"/>
      <c r="T190" s="58"/>
      <c r="U190" s="59"/>
      <c r="V190" s="2"/>
      <c r="W190" s="65"/>
      <c r="X190" s="198"/>
      <c r="Y190" s="198"/>
      <c r="Z190" s="198"/>
      <c r="AA190" s="274"/>
      <c r="AB190" s="21"/>
      <c r="AC190" s="21"/>
      <c r="AD190" s="21"/>
      <c r="AE190" s="21"/>
      <c r="AF190" s="70"/>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80" ht="13.5" thickBot="1">
      <c r="C191" s="135" t="s">
        <v>92</v>
      </c>
      <c r="D191" s="291">
        <f>$G191/100*[2]SA!$I$131</f>
        <v>401040</v>
      </c>
      <c r="E191" s="291">
        <f>$G191/100*[2]SA!$I$132</f>
        <v>211660</v>
      </c>
      <c r="F191" s="291">
        <f>$G191/100*[2]SA!$I$133</f>
        <v>501300</v>
      </c>
      <c r="G191" s="66">
        <f>[2]SA!$M$23</f>
        <v>1114000</v>
      </c>
      <c r="H191" s="62"/>
      <c r="I191" s="41">
        <f>SUM(I187,I182,I179,I178,I168,I163,I157,I153)</f>
        <v>401040</v>
      </c>
      <c r="J191" s="218">
        <f>SUM(J187,J182,J179,J178,J168,J163,J157,J153)</f>
        <v>211660</v>
      </c>
      <c r="K191" s="218">
        <f>SUM(K187,K182,K179,K178,K168,K163,K157,K153)</f>
        <v>501236.25953627529</v>
      </c>
      <c r="L191" s="42">
        <f>SUM(L187,L182,L179,L178,L168,L163,L157,L153)</f>
        <v>1113936.2595362752</v>
      </c>
      <c r="M191" s="43"/>
      <c r="N191" s="44">
        <f>SUM(N187,N182,N179,N178,N168,N163,N157,N153)</f>
        <v>348946.47022072528</v>
      </c>
      <c r="O191" s="45">
        <f>SUM(O187,O182,O179,O178,O168,O163,O157,O153)</f>
        <v>187175.34452060965</v>
      </c>
      <c r="P191" s="45">
        <f>SUM(P187,P182,P179,P178,P168,P163,P157,P153)</f>
        <v>473184.35804056108</v>
      </c>
      <c r="Q191" s="133">
        <f>SUM(Q187,Q182,Q179,Q178,Q168,Q163,Q157,Q153,Q190)</f>
        <v>1009306.1727818958</v>
      </c>
      <c r="R191" s="27">
        <f>SUM(R187,R182,R179,R178,R168,R163,R157,R153)</f>
        <v>639.89425787136815</v>
      </c>
      <c r="T191" s="60"/>
      <c r="U191" s="706"/>
      <c r="V191" s="707"/>
      <c r="W191" s="66"/>
      <c r="X191" s="362"/>
      <c r="Y191" s="362"/>
      <c r="Z191" s="362"/>
      <c r="AA191" s="287"/>
      <c r="AB191" s="45"/>
      <c r="AC191" s="45"/>
      <c r="AD191" s="45"/>
      <c r="AE191" s="45"/>
      <c r="AF191" s="85"/>
      <c r="AG191" s="44">
        <f>$AJ$191*[2]SA!L118</f>
        <v>409840.84084870038</v>
      </c>
      <c r="AH191" s="45">
        <f>$AJ$191*[2]SA!M118</f>
        <v>611967.01508258388</v>
      </c>
      <c r="AI191" s="45">
        <f>$AJ$191*[2]SA!N118</f>
        <v>1088155.1440687156</v>
      </c>
      <c r="AJ191" s="354">
        <f>SUM(AJ187,AJ182,AJ179,AJ178,AJ168,AJ163,AJ157,AJ153,AJ190)</f>
        <v>2109963</v>
      </c>
      <c r="AK191" s="27">
        <f>SUM(AK187,AK182,AK179,AK178,AK168,AK163,AK157,AK153,AK190)</f>
        <v>1327.0024786003182</v>
      </c>
      <c r="AL191" s="19"/>
      <c r="AM191" s="60"/>
      <c r="AN191" s="706"/>
      <c r="AO191" s="707"/>
      <c r="AP191" s="66"/>
      <c r="AQ191" s="71"/>
      <c r="AR191" s="43"/>
      <c r="AS191" s="46">
        <f>SUM(AS148:AS190)</f>
        <v>1.0115309429740951</v>
      </c>
      <c r="AT191" s="214">
        <f>SUM(AT187,AT182,AT179,AT178,AT168,AT163,AT157,AT153)</f>
        <v>104630.0867543793</v>
      </c>
      <c r="AU191" s="47"/>
      <c r="AV191" s="45"/>
      <c r="AW191" s="214"/>
      <c r="AX191" s="43"/>
      <c r="AY191" s="44">
        <f>SUM(AY187,AY182,AY179,AY178,AY168,AY163,AY157,AY153)</f>
        <v>52093.529779274701</v>
      </c>
      <c r="AZ191" s="45">
        <f>SUM(AZ187,AZ182,AZ179,AZ178,AZ168,AZ163,AZ157,AZ153)</f>
        <v>24484.655479390363</v>
      </c>
      <c r="BA191" s="45">
        <f>SUM(BA187,BA182,BA179,BA178,BA168,BA163,BA157,BA153)</f>
        <v>28051.901495714228</v>
      </c>
      <c r="BB191" s="354">
        <f>SUM(BB187,BB182,BB179,BB178,BB168,BB163,BB157,BB153,BB190)</f>
        <v>104630.0867543793</v>
      </c>
      <c r="BC191" s="27">
        <f>SUM(BC187,BC182,BC179,BC178,BC168,BC163,BC157,BC153,BC190)</f>
        <v>66.334867971899655</v>
      </c>
    </row>
    <row r="192" spans="1:80" ht="13.5" thickBot="1">
      <c r="C192" s="136" t="s">
        <v>65</v>
      </c>
      <c r="I192" s="52"/>
      <c r="Q192" s="49">
        <f>Q191+Q188</f>
        <v>1009306.1727818958</v>
      </c>
      <c r="R192" s="216">
        <f>R191+R188</f>
        <v>639.89425787136815</v>
      </c>
      <c r="AJ192" s="353">
        <f>AJ191+AJ188</f>
        <v>2370876</v>
      </c>
      <c r="AK192" s="216">
        <f>AK191+AK188</f>
        <v>1492.4198068663472</v>
      </c>
      <c r="BB192" s="353">
        <f>BB191+BB188</f>
        <v>104630.0867543793</v>
      </c>
      <c r="BC192" s="216">
        <f>BC191+BC188</f>
        <v>66.334867971899655</v>
      </c>
    </row>
    <row r="194" spans="3:3">
      <c r="C194" s="89"/>
    </row>
  </sheetData>
  <mergeCells count="40">
    <mergeCell ref="BC5:BC6"/>
    <mergeCell ref="AK5:AK6"/>
    <mergeCell ref="R5:R6"/>
    <mergeCell ref="B5:B6"/>
    <mergeCell ref="C5:C6"/>
    <mergeCell ref="D5:G5"/>
    <mergeCell ref="H5:H6"/>
    <mergeCell ref="I5:L5"/>
    <mergeCell ref="AY5:BB5"/>
    <mergeCell ref="N4:R4"/>
    <mergeCell ref="N5:Q5"/>
    <mergeCell ref="T5:W5"/>
    <mergeCell ref="AG5:AJ5"/>
    <mergeCell ref="AM5:AP5"/>
    <mergeCell ref="X5:AA5"/>
    <mergeCell ref="T4:AA4"/>
    <mergeCell ref="A7:A47"/>
    <mergeCell ref="BH7:BL7"/>
    <mergeCell ref="BM7:BN7"/>
    <mergeCell ref="BH8:BK8"/>
    <mergeCell ref="U50:V50"/>
    <mergeCell ref="AN50:AO50"/>
    <mergeCell ref="A54:A94"/>
    <mergeCell ref="BH54:BL54"/>
    <mergeCell ref="BM54:BN54"/>
    <mergeCell ref="BH55:BK55"/>
    <mergeCell ref="U97:V97"/>
    <mergeCell ref="AN97:AO97"/>
    <mergeCell ref="A101:A141"/>
    <mergeCell ref="BH101:BL101"/>
    <mergeCell ref="BM101:BN101"/>
    <mergeCell ref="BH102:BK102"/>
    <mergeCell ref="U144:V144"/>
    <mergeCell ref="AN144:AO144"/>
    <mergeCell ref="A148:A188"/>
    <mergeCell ref="BH148:BL148"/>
    <mergeCell ref="BM148:BN148"/>
    <mergeCell ref="BH149:BK149"/>
    <mergeCell ref="U191:V191"/>
    <mergeCell ref="AN191:AO191"/>
  </mergeCells>
  <pageMargins left="0.7" right="0.7" top="0.75" bottom="0.75" header="0.3" footer="0.3"/>
  <pageSetup paperSize="8" scale="17" orientation="landscape" r:id="rId1"/>
  <colBreaks count="1" manualBreakCount="1">
    <brk id="18" max="41" man="1"/>
  </colBreaks>
  <drawing r:id="rId2"/>
</worksheet>
</file>

<file path=xl/worksheets/sheet7.xml><?xml version="1.0" encoding="utf-8"?>
<worksheet xmlns="http://schemas.openxmlformats.org/spreadsheetml/2006/main" xmlns:r="http://schemas.openxmlformats.org/officeDocument/2006/relationships">
  <dimension ref="A1:CC194"/>
  <sheetViews>
    <sheetView zoomScale="80" zoomScaleNormal="80"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8.5703125" style="6" customWidth="1"/>
    <col min="3" max="3" width="34.85546875" style="6" customWidth="1"/>
    <col min="4" max="4" width="11.140625" style="6" hidden="1" customWidth="1"/>
    <col min="5" max="5" width="10.5703125" style="6" hidden="1" customWidth="1"/>
    <col min="6" max="6" width="10.28515625"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46.7109375" style="6" hidden="1" customWidth="1"/>
    <col min="14" max="17" width="9.7109375" style="6" customWidth="1"/>
    <col min="18" max="18" width="6.28515625" style="6" customWidth="1"/>
    <col min="19" max="19" width="2.7109375" style="6" customWidth="1"/>
    <col min="20" max="26" width="10" style="6" hidden="1" customWidth="1"/>
    <col min="27" max="27" width="13.5703125" style="6" hidden="1" customWidth="1"/>
    <col min="28" max="31" width="8" style="6" hidden="1" customWidth="1"/>
    <col min="32" max="32" width="38.85546875" style="6" hidden="1" customWidth="1"/>
    <col min="33" max="36" width="9.7109375" style="6" customWidth="1"/>
    <col min="37" max="37" width="6.28515625" style="6" customWidth="1"/>
    <col min="38" max="38" width="2.7109375" style="6"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2.7109375" style="6" hidden="1" customWidth="1"/>
    <col min="45" max="46" width="13.140625" style="6" hidden="1" customWidth="1"/>
    <col min="47" max="49" width="11" style="6" hidden="1" customWidth="1"/>
    <col min="50" max="50" width="53.5703125" style="6" hidden="1" customWidth="1"/>
    <col min="51" max="54" width="9.7109375" style="6" customWidth="1"/>
    <col min="55" max="55" width="6.8554687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16384" width="9.140625" style="6"/>
  </cols>
  <sheetData>
    <row r="1" spans="1:73" s="1" customFormat="1" ht="21">
      <c r="A1" s="1" t="s">
        <v>252</v>
      </c>
      <c r="F1" s="227"/>
      <c r="BG1" s="139"/>
    </row>
    <row r="2" spans="1:73" s="157" customFormat="1" ht="13.5" thickBot="1">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235" t="s">
        <v>53</v>
      </c>
      <c r="G4" s="184"/>
      <c r="H4" s="235"/>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176"/>
      <c r="AG4" s="190"/>
      <c r="AH4" s="191" t="s">
        <v>39</v>
      </c>
      <c r="AI4" s="235"/>
      <c r="AJ4" s="235"/>
      <c r="AK4" s="236"/>
      <c r="AL4" s="7"/>
      <c r="AM4" s="181"/>
      <c r="AN4" s="182"/>
      <c r="AO4" s="235" t="s">
        <v>53</v>
      </c>
      <c r="AP4" s="184"/>
      <c r="AQ4" s="188"/>
      <c r="AR4" s="7"/>
      <c r="AS4" s="7"/>
      <c r="AT4" s="7"/>
      <c r="AU4" s="182" t="s">
        <v>41</v>
      </c>
      <c r="AV4" s="186"/>
      <c r="AW4" s="186"/>
      <c r="AX4" s="7"/>
      <c r="AY4" s="190"/>
      <c r="AZ4" s="191" t="s">
        <v>39</v>
      </c>
      <c r="BA4" s="235"/>
      <c r="BB4" s="235"/>
      <c r="BC4" s="236"/>
    </row>
    <row r="5" spans="1:73"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233" t="s">
        <v>63</v>
      </c>
      <c r="AR5" s="7"/>
      <c r="AS5" s="178" t="s">
        <v>49</v>
      </c>
      <c r="AT5" s="178"/>
      <c r="AU5" s="179"/>
      <c r="AV5" s="15"/>
      <c r="AW5" s="180"/>
      <c r="AX5" s="7"/>
      <c r="AY5" s="710" t="s">
        <v>60</v>
      </c>
      <c r="AZ5" s="711"/>
      <c r="BA5" s="711"/>
      <c r="BB5" s="712"/>
      <c r="BC5" s="718" t="s">
        <v>62</v>
      </c>
      <c r="BD5" s="8"/>
    </row>
    <row r="6" spans="1:73" ht="26.2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0" t="s">
        <v>40</v>
      </c>
      <c r="R6" s="719"/>
      <c r="T6" s="9" t="s">
        <v>44</v>
      </c>
      <c r="U6" s="10" t="s">
        <v>45</v>
      </c>
      <c r="V6" s="10" t="s">
        <v>46</v>
      </c>
      <c r="W6" s="11" t="s">
        <v>40</v>
      </c>
      <c r="X6" s="14" t="s">
        <v>44</v>
      </c>
      <c r="Y6" s="10" t="s">
        <v>45</v>
      </c>
      <c r="Z6" s="10" t="s">
        <v>46</v>
      </c>
      <c r="AA6" s="11" t="s">
        <v>40</v>
      </c>
      <c r="AB6" s="9" t="s">
        <v>44</v>
      </c>
      <c r="AC6" s="10" t="s">
        <v>45</v>
      </c>
      <c r="AD6" s="10" t="s">
        <v>46</v>
      </c>
      <c r="AE6" s="10" t="s">
        <v>40</v>
      </c>
      <c r="AF6" s="234" t="s">
        <v>48</v>
      </c>
      <c r="AG6" s="9" t="s">
        <v>44</v>
      </c>
      <c r="AH6" s="10" t="s">
        <v>45</v>
      </c>
      <c r="AI6" s="10" t="s">
        <v>46</v>
      </c>
      <c r="AJ6" s="10" t="s">
        <v>40</v>
      </c>
      <c r="AK6" s="719"/>
      <c r="AL6" s="232"/>
      <c r="AM6" s="9" t="s">
        <v>44</v>
      </c>
      <c r="AN6" s="10" t="s">
        <v>45</v>
      </c>
      <c r="AO6" s="10" t="s">
        <v>46</v>
      </c>
      <c r="AP6" s="10" t="s">
        <v>40</v>
      </c>
      <c r="AQ6" s="234"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64</v>
      </c>
      <c r="B7" s="16" t="s">
        <v>3</v>
      </c>
      <c r="C7" s="17" t="s">
        <v>16</v>
      </c>
      <c r="D7" s="55"/>
      <c r="E7" s="56"/>
      <c r="F7" s="2"/>
      <c r="G7" s="63"/>
      <c r="H7" s="5"/>
      <c r="I7" s="151"/>
      <c r="J7" s="26"/>
      <c r="K7" s="26"/>
      <c r="L7" s="133"/>
      <c r="M7" s="56"/>
      <c r="N7" s="16"/>
      <c r="O7" s="18"/>
      <c r="P7" s="18"/>
      <c r="Q7" s="244"/>
      <c r="R7" s="24"/>
      <c r="T7" s="55"/>
      <c r="U7" s="56"/>
      <c r="V7" s="56"/>
      <c r="W7" s="199"/>
      <c r="X7" s="198"/>
      <c r="Y7" s="198"/>
      <c r="Z7" s="198"/>
      <c r="AA7" s="272"/>
      <c r="AB7" s="26"/>
      <c r="AC7" s="26"/>
      <c r="AD7" s="26"/>
      <c r="AE7" s="26"/>
      <c r="AF7" s="84"/>
      <c r="AG7" s="20"/>
      <c r="AH7" s="21"/>
      <c r="AI7" s="21"/>
      <c r="AJ7" s="22"/>
      <c r="AK7" s="27"/>
      <c r="AL7" s="19"/>
      <c r="AM7" s="55"/>
      <c r="AN7" s="56"/>
      <c r="AO7" s="2"/>
      <c r="AP7" s="63"/>
      <c r="AQ7" s="67"/>
      <c r="AR7" s="26"/>
      <c r="AS7" s="21"/>
      <c r="AT7" s="21"/>
      <c r="AU7" s="25"/>
      <c r="AV7" s="21"/>
      <c r="AW7" s="22"/>
      <c r="AX7" s="56"/>
      <c r="AY7" s="23"/>
      <c r="AZ7" s="19"/>
      <c r="BA7" s="19"/>
      <c r="BB7" s="19"/>
      <c r="BC7" s="24"/>
      <c r="BD7" s="8"/>
      <c r="BH7" s="700" t="s">
        <v>70</v>
      </c>
      <c r="BI7" s="701"/>
      <c r="BJ7" s="701"/>
      <c r="BK7" s="701"/>
      <c r="BL7" s="702"/>
      <c r="BM7" s="700" t="s">
        <v>71</v>
      </c>
      <c r="BN7" s="702"/>
      <c r="BP7" s="8"/>
      <c r="BQ7" s="8"/>
      <c r="BR7" s="8"/>
      <c r="BS7" s="8"/>
      <c r="BT7" s="8"/>
      <c r="BU7" s="8"/>
    </row>
    <row r="8" spans="1:73">
      <c r="A8" s="699"/>
      <c r="B8" s="23"/>
      <c r="C8" s="17" t="s">
        <v>17</v>
      </c>
      <c r="D8" s="57"/>
      <c r="E8" s="2"/>
      <c r="F8" s="2"/>
      <c r="G8" s="63"/>
      <c r="H8" s="5"/>
      <c r="I8" s="20"/>
      <c r="J8" s="21"/>
      <c r="K8" s="21"/>
      <c r="L8" s="22"/>
      <c r="M8" s="2"/>
      <c r="N8" s="23"/>
      <c r="O8" s="19"/>
      <c r="P8" s="19"/>
      <c r="Q8" s="19"/>
      <c r="R8" s="24"/>
      <c r="T8" s="57"/>
      <c r="U8" s="2"/>
      <c r="V8" s="2"/>
      <c r="W8" s="199"/>
      <c r="X8" s="198"/>
      <c r="Y8" s="198"/>
      <c r="Z8" s="198"/>
      <c r="AA8" s="272"/>
      <c r="AB8" s="21"/>
      <c r="AC8" s="21"/>
      <c r="AD8" s="21"/>
      <c r="AE8" s="21"/>
      <c r="AF8" s="70"/>
      <c r="AG8" s="20"/>
      <c r="AH8" s="21"/>
      <c r="AI8" s="21"/>
      <c r="AJ8" s="22"/>
      <c r="AK8" s="29"/>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
      <c r="F9" s="2"/>
      <c r="G9" s="63"/>
      <c r="H9" s="5"/>
      <c r="I9" s="20"/>
      <c r="J9" s="21"/>
      <c r="K9" s="21"/>
      <c r="L9" s="22"/>
      <c r="M9" s="2"/>
      <c r="N9" s="23"/>
      <c r="O9" s="19"/>
      <c r="P9" s="19"/>
      <c r="Q9" s="19"/>
      <c r="R9" s="24"/>
      <c r="T9" s="57"/>
      <c r="U9" s="2"/>
      <c r="V9" s="2"/>
      <c r="W9" s="199"/>
      <c r="X9" s="198"/>
      <c r="Y9" s="198"/>
      <c r="Z9" s="198"/>
      <c r="AA9" s="272"/>
      <c r="AB9" s="21"/>
      <c r="AC9" s="21"/>
      <c r="AD9" s="21"/>
      <c r="AE9" s="21"/>
      <c r="AF9" s="70"/>
      <c r="AG9" s="20"/>
      <c r="AH9" s="21"/>
      <c r="AI9" s="21"/>
      <c r="AJ9" s="22"/>
      <c r="AK9" s="29"/>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
      <c r="N10" s="23"/>
      <c r="O10" s="19"/>
      <c r="P10" s="19"/>
      <c r="Q10" s="19"/>
      <c r="R10" s="24"/>
      <c r="T10" s="57"/>
      <c r="U10" s="2"/>
      <c r="V10" s="2"/>
      <c r="W10" s="199"/>
      <c r="X10" s="198"/>
      <c r="Y10" s="198"/>
      <c r="Z10" s="198"/>
      <c r="AA10" s="274"/>
      <c r="AB10" s="21"/>
      <c r="AC10" s="21"/>
      <c r="AD10" s="21"/>
      <c r="AE10" s="21"/>
      <c r="AF10" s="70"/>
      <c r="AG10" s="20"/>
      <c r="AH10" s="21"/>
      <c r="AI10" s="21"/>
      <c r="AJ10" s="22"/>
      <c r="AK10" s="29"/>
      <c r="AL10" s="19"/>
      <c r="AM10" s="57"/>
      <c r="AN10" s="2"/>
      <c r="AO10" s="2"/>
      <c r="AP10" s="63"/>
      <c r="AQ10" s="68"/>
      <c r="AR10" s="21"/>
      <c r="AS10" s="21"/>
      <c r="AT10" s="21"/>
      <c r="AU10" s="25"/>
      <c r="AV10" s="21"/>
      <c r="AW10" s="22"/>
      <c r="AX10" s="2"/>
      <c r="AY10" s="23"/>
      <c r="AZ10" s="19"/>
      <c r="BA10" s="19"/>
      <c r="BB10" s="19"/>
      <c r="BC10" s="24"/>
      <c r="BD10" s="30"/>
      <c r="BG10" s="145" t="s">
        <v>72</v>
      </c>
      <c r="BH10" s="52">
        <f>N50/1000</f>
        <v>154.14175310174033</v>
      </c>
      <c r="BI10" s="52">
        <f>O50/1000</f>
        <v>213.371456364012</v>
      </c>
      <c r="BJ10" s="52">
        <f>P50/1000</f>
        <v>38.196870202479857</v>
      </c>
      <c r="BK10" s="53">
        <f>Q50/1000</f>
        <v>405.71007966823214</v>
      </c>
      <c r="BL10" s="54">
        <f>R50/1000</f>
        <v>0.79518448021174115</v>
      </c>
      <c r="BM10" s="51">
        <f>Q51/1000</f>
        <v>405.71007966823214</v>
      </c>
      <c r="BN10" s="54">
        <f>R51/1000</f>
        <v>0.79518448021174115</v>
      </c>
      <c r="BP10" s="30"/>
      <c r="BQ10" s="30"/>
      <c r="BR10" s="30"/>
      <c r="BS10" s="31"/>
      <c r="BT10" s="31"/>
      <c r="BU10" s="32"/>
    </row>
    <row r="11" spans="1:73">
      <c r="A11" s="699"/>
      <c r="B11" s="23"/>
      <c r="C11" s="17" t="s">
        <v>183</v>
      </c>
      <c r="D11" s="57"/>
      <c r="E11" s="2"/>
      <c r="F11" s="2"/>
      <c r="G11" s="63"/>
      <c r="H11" s="2"/>
      <c r="I11" s="20"/>
      <c r="J11" s="21"/>
      <c r="K11" s="21"/>
      <c r="L11" s="22"/>
      <c r="M11" s="2"/>
      <c r="N11" s="23"/>
      <c r="O11" s="19"/>
      <c r="P11" s="19"/>
      <c r="Q11" s="19"/>
      <c r="R11" s="33"/>
      <c r="T11" s="57"/>
      <c r="U11" s="2"/>
      <c r="V11" s="2"/>
      <c r="W11" s="199"/>
      <c r="X11" s="198"/>
      <c r="Y11" s="198"/>
      <c r="Z11" s="198"/>
      <c r="AA11" s="274"/>
      <c r="AB11" s="21"/>
      <c r="AC11" s="21"/>
      <c r="AD11" s="21"/>
      <c r="AE11" s="21"/>
      <c r="AF11" s="70"/>
      <c r="AG11" s="20"/>
      <c r="AH11" s="21"/>
      <c r="AI11" s="21"/>
      <c r="AJ11" s="22"/>
      <c r="AK11" s="29"/>
      <c r="AL11" s="19"/>
      <c r="AM11" s="57"/>
      <c r="AN11" s="2"/>
      <c r="AO11" s="2"/>
      <c r="AP11" s="63"/>
      <c r="AQ11" s="68"/>
      <c r="AR11" s="21"/>
      <c r="AS11" s="21"/>
      <c r="AT11" s="21"/>
      <c r="AU11" s="25"/>
      <c r="AV11" s="21"/>
      <c r="AW11" s="22"/>
      <c r="AX11" s="2"/>
      <c r="AY11" s="23"/>
      <c r="AZ11" s="19"/>
      <c r="BA11" s="19"/>
      <c r="BB11" s="19"/>
      <c r="BC11" s="24"/>
      <c r="BD11" s="30"/>
      <c r="BG11" s="77" t="s">
        <v>68</v>
      </c>
      <c r="BH11" s="52">
        <f>AG50/1000</f>
        <v>86.334668315888266</v>
      </c>
      <c r="BI11" s="52">
        <f>AH50/1000</f>
        <v>70.541331684111711</v>
      </c>
      <c r="BJ11" s="52">
        <f>AI50/1000</f>
        <v>0</v>
      </c>
      <c r="BK11" s="53">
        <f>AJ50/1000</f>
        <v>156.87599999999998</v>
      </c>
      <c r="BL11" s="54">
        <f>AK50/1000</f>
        <v>0.30747414661155842</v>
      </c>
      <c r="BM11" s="51">
        <f>AJ51/1000</f>
        <v>156.87599999999998</v>
      </c>
      <c r="BN11" s="54">
        <f>AK51/1000</f>
        <v>0.30747414661155842</v>
      </c>
    </row>
    <row r="12" spans="1:73" s="106" customFormat="1">
      <c r="A12" s="699"/>
      <c r="B12" s="107" t="s">
        <v>67</v>
      </c>
      <c r="C12" s="108"/>
      <c r="D12" s="109"/>
      <c r="E12" s="110"/>
      <c r="F12" s="110"/>
      <c r="G12" s="63"/>
      <c r="H12" s="110"/>
      <c r="I12" s="112">
        <f>D50*'[2]Lfill en &amp; composn'!B$133</f>
        <v>8582.8605352055329</v>
      </c>
      <c r="J12" s="113">
        <f>E50*'[2]C&amp;I composn'!$E$10</f>
        <v>9628.364873273249</v>
      </c>
      <c r="K12" s="113">
        <f>F50*'[2]Lfill en &amp; composn'!C$133</f>
        <v>21623.337940501111</v>
      </c>
      <c r="L12" s="114">
        <f>SUM(I12:K12)</f>
        <v>39834.563348979893</v>
      </c>
      <c r="M12" s="110"/>
      <c r="N12" s="112">
        <f>I12-AU12</f>
        <v>8582.8605352055329</v>
      </c>
      <c r="O12" s="113">
        <f>J12-AV12</f>
        <v>9628.364873273249</v>
      </c>
      <c r="P12" s="113">
        <f>K12-AW12</f>
        <v>21623.337940501111</v>
      </c>
      <c r="Q12" s="114">
        <f>SUM(N12:P12)</f>
        <v>39834.563348979893</v>
      </c>
      <c r="R12" s="115">
        <f>Q12/[2]Popn!$G$43*1000</f>
        <v>78.075029777478122</v>
      </c>
      <c r="T12" s="109"/>
      <c r="U12" s="110"/>
      <c r="V12" s="110"/>
      <c r="W12" s="203"/>
      <c r="X12" s="130"/>
      <c r="Y12" s="130"/>
      <c r="Z12" s="130"/>
      <c r="AA12" s="276"/>
      <c r="AB12" s="113"/>
      <c r="AC12" s="113">
        <f>($AC$50-$AC$22-$AC$37)*'[2]C&amp;I composn'!D71</f>
        <v>2772.7140033419619</v>
      </c>
      <c r="AD12" s="113"/>
      <c r="AE12" s="113">
        <f>SUM(AB12:AD12)</f>
        <v>2772.7140033419619</v>
      </c>
      <c r="AF12" s="117"/>
      <c r="AG12" s="112">
        <f>AB12</f>
        <v>0</v>
      </c>
      <c r="AH12" s="113">
        <f>AC12</f>
        <v>2772.7140033419619</v>
      </c>
      <c r="AI12" s="113">
        <f>AD12</f>
        <v>0</v>
      </c>
      <c r="AJ12" s="114">
        <f>SUM(AG12:AI12)</f>
        <v>2772.7140033419619</v>
      </c>
      <c r="AK12" s="118">
        <f>AJ12/[2]Popn!$G$43*1000</f>
        <v>5.434469721152297</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17.270246898259689</v>
      </c>
      <c r="BI12" s="52">
        <f>AZ50/1000</f>
        <v>21.984543635987972</v>
      </c>
      <c r="BJ12" s="52">
        <f>BA50/1000</f>
        <v>0.5872631792049221</v>
      </c>
      <c r="BK12" s="53">
        <f>BB50/1000</f>
        <v>39.842053713452579</v>
      </c>
      <c r="BL12" s="54">
        <f>BC50/1000</f>
        <v>7.8089710757513614E-2</v>
      </c>
      <c r="BM12" s="51">
        <f>BB51/1000</f>
        <v>39.842053713452579</v>
      </c>
      <c r="BN12" s="54">
        <f>BC51/1000</f>
        <v>7.8089710757513614E-2</v>
      </c>
      <c r="BO12" s="6"/>
    </row>
    <row r="13" spans="1:73">
      <c r="A13" s="699"/>
      <c r="B13" s="23" t="s">
        <v>4</v>
      </c>
      <c r="C13" s="17" t="s">
        <v>19</v>
      </c>
      <c r="D13" s="57"/>
      <c r="E13" s="2"/>
      <c r="F13" s="2"/>
      <c r="G13" s="63"/>
      <c r="H13" s="2"/>
      <c r="I13" s="20"/>
      <c r="J13" s="21">
        <f>E50*'[2]C&amp;I composn'!$E$11</f>
        <v>6399.3769252770016</v>
      </c>
      <c r="K13" s="21"/>
      <c r="L13" s="22"/>
      <c r="M13" s="2"/>
      <c r="N13" s="23"/>
      <c r="O13" s="19"/>
      <c r="P13" s="19"/>
      <c r="Q13" s="19"/>
      <c r="R13" s="33"/>
      <c r="T13" s="57">
        <f>[2]TAS!$I$41</f>
        <v>840</v>
      </c>
      <c r="U13" s="2"/>
      <c r="V13" s="2"/>
      <c r="W13" s="199"/>
      <c r="X13" s="198"/>
      <c r="Y13" s="198"/>
      <c r="Z13" s="198"/>
      <c r="AA13" s="274"/>
      <c r="AB13" s="21">
        <f>T13</f>
        <v>840</v>
      </c>
      <c r="AC13" s="21">
        <f>($AC$50-$AC$22-$AC$37)*'[2]C&amp;I composn'!D72</f>
        <v>9914.7165026596358</v>
      </c>
      <c r="AD13" s="21"/>
      <c r="AE13" s="21"/>
      <c r="AF13" s="70"/>
      <c r="AG13" s="20"/>
      <c r="AH13" s="21"/>
      <c r="AI13" s="21"/>
      <c r="AJ13" s="22"/>
      <c r="AK13" s="29"/>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0">SUM(BH11:BH12)/BH14</f>
        <v>0.40196412970573175</v>
      </c>
      <c r="BI13" s="86">
        <f t="shared" si="0"/>
        <v>0.30247362672534706</v>
      </c>
      <c r="BJ13" s="86">
        <f t="shared" si="0"/>
        <v>1.5141840954018795E-2</v>
      </c>
      <c r="BK13" s="87">
        <f t="shared" si="0"/>
        <v>0.32654194386505597</v>
      </c>
      <c r="BL13" s="87">
        <f t="shared" si="0"/>
        <v>0.32654194386505597</v>
      </c>
      <c r="BM13" s="88">
        <f t="shared" si="0"/>
        <v>0.32654194386505597</v>
      </c>
      <c r="BN13" s="87">
        <f t="shared" si="0"/>
        <v>0.32654194386505597</v>
      </c>
    </row>
    <row r="14" spans="1:73">
      <c r="A14" s="699"/>
      <c r="B14" s="23"/>
      <c r="C14" s="17" t="s">
        <v>20</v>
      </c>
      <c r="D14" s="57"/>
      <c r="E14" s="2"/>
      <c r="F14" s="2"/>
      <c r="G14" s="63"/>
      <c r="H14" s="2"/>
      <c r="I14" s="20"/>
      <c r="J14" s="21">
        <f>E50*'[2]C&amp;I composn'!$E$12</f>
        <v>831.52211599244788</v>
      </c>
      <c r="K14" s="21"/>
      <c r="L14" s="22"/>
      <c r="M14" s="2"/>
      <c r="N14" s="23"/>
      <c r="O14" s="19"/>
      <c r="P14" s="19"/>
      <c r="Q14" s="19"/>
      <c r="R14" s="33"/>
      <c r="T14" s="57">
        <f>[2]TAS!$I$40</f>
        <v>634</v>
      </c>
      <c r="U14" s="2"/>
      <c r="V14" s="2"/>
      <c r="W14" s="199"/>
      <c r="X14" s="198"/>
      <c r="Y14" s="198"/>
      <c r="Z14" s="198"/>
      <c r="AA14" s="274"/>
      <c r="AB14" s="21">
        <f>T14</f>
        <v>634</v>
      </c>
      <c r="AC14" s="21">
        <f>($AC$50-$AC$22-$AC$37)*'[2]C&amp;I composn'!D73</f>
        <v>1112.8211555128801</v>
      </c>
      <c r="AD14" s="21"/>
      <c r="AE14" s="21"/>
      <c r="AF14" s="70"/>
      <c r="AG14" s="20"/>
      <c r="AH14" s="21"/>
      <c r="AI14" s="21"/>
      <c r="AJ14" s="22"/>
      <c r="AK14" s="29"/>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1">SUM(BH10:BH12)</f>
        <v>257.74666831588831</v>
      </c>
      <c r="BI14" s="52">
        <f t="shared" si="1"/>
        <v>305.89733168411169</v>
      </c>
      <c r="BJ14" s="52">
        <f t="shared" si="1"/>
        <v>38.784133381684782</v>
      </c>
      <c r="BK14" s="74">
        <f t="shared" si="1"/>
        <v>602.42813338168469</v>
      </c>
      <c r="BL14" s="76">
        <f t="shared" si="1"/>
        <v>1.1807483375808132</v>
      </c>
      <c r="BM14" s="81">
        <f t="shared" si="1"/>
        <v>602.42813338168469</v>
      </c>
      <c r="BN14" s="76">
        <f t="shared" si="1"/>
        <v>1.1807483375808132</v>
      </c>
    </row>
    <row r="15" spans="1:73">
      <c r="A15" s="699"/>
      <c r="B15" s="23"/>
      <c r="C15" s="17" t="s">
        <v>21</v>
      </c>
      <c r="D15" s="57"/>
      <c r="E15" s="2"/>
      <c r="F15" s="2"/>
      <c r="G15" s="63"/>
      <c r="H15" s="2"/>
      <c r="I15" s="20"/>
      <c r="J15" s="21">
        <f>E50*'[2]C&amp;I composn'!$E$13</f>
        <v>1.404509266093463</v>
      </c>
      <c r="K15" s="21"/>
      <c r="L15" s="22"/>
      <c r="M15" s="2"/>
      <c r="N15" s="23"/>
      <c r="O15" s="19"/>
      <c r="P15" s="19"/>
      <c r="Q15" s="19"/>
      <c r="R15" s="33"/>
      <c r="T15" s="57"/>
      <c r="U15" s="2"/>
      <c r="V15" s="2"/>
      <c r="W15" s="199"/>
      <c r="X15" s="198"/>
      <c r="Y15" s="198"/>
      <c r="Z15" s="198"/>
      <c r="AA15" s="274"/>
      <c r="AB15" s="21"/>
      <c r="AC15" s="21">
        <f>($AC$50-$AC$22-$AC$37)*'[2]C&amp;I composn'!D74</f>
        <v>3.0516641609487496</v>
      </c>
      <c r="AD15" s="21"/>
      <c r="AE15" s="21"/>
      <c r="AF15" s="70"/>
      <c r="AG15" s="20"/>
      <c r="AH15" s="21"/>
      <c r="AI15" s="21"/>
      <c r="AJ15" s="22"/>
      <c r="AK15" s="29"/>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63"/>
      <c r="H16" s="110"/>
      <c r="I16" s="112">
        <f>D50*'[2]Lfill en &amp; composn'!B$134</f>
        <v>5981.9858949965956</v>
      </c>
      <c r="J16" s="113">
        <f>SUM(J13:J15)</f>
        <v>7232.3035505355429</v>
      </c>
      <c r="K16" s="113">
        <f>F50*'[2]Lfill en &amp; composn'!C$134</f>
        <v>1342.8261884649598</v>
      </c>
      <c r="L16" s="114">
        <f>SUM(I16:K16)</f>
        <v>14557.115633997098</v>
      </c>
      <c r="M16" s="110"/>
      <c r="N16" s="112">
        <f>I16-AU16</f>
        <v>5981.9858949965956</v>
      </c>
      <c r="O16" s="113">
        <f>J16-AV16</f>
        <v>7232.3035505355429</v>
      </c>
      <c r="P16" s="113">
        <f>K16-AW16</f>
        <v>1342.8261884649598</v>
      </c>
      <c r="Q16" s="114">
        <f>SUM(N16:P16)</f>
        <v>14557.115633997098</v>
      </c>
      <c r="R16" s="115">
        <f>Q16/[2]Popn!$G$43*1000</f>
        <v>28.531685577711276</v>
      </c>
      <c r="T16" s="109"/>
      <c r="U16" s="110"/>
      <c r="V16" s="110"/>
      <c r="W16" s="203"/>
      <c r="X16" s="130"/>
      <c r="Y16" s="130"/>
      <c r="Z16" s="130"/>
      <c r="AA16" s="276"/>
      <c r="AB16" s="113">
        <f>SUM(AB13:AB15)</f>
        <v>1474</v>
      </c>
      <c r="AC16" s="113">
        <f>SUM(AC13:AC15)</f>
        <v>11030.589322333464</v>
      </c>
      <c r="AD16" s="113">
        <f>SUM(AD13:AD15)</f>
        <v>0</v>
      </c>
      <c r="AE16" s="113">
        <f>SUM(AB16:AD16)</f>
        <v>12504.589322333464</v>
      </c>
      <c r="AF16" s="117"/>
      <c r="AG16" s="112">
        <f>AB16</f>
        <v>1474</v>
      </c>
      <c r="AH16" s="113">
        <f>AC16</f>
        <v>11030.589322333464</v>
      </c>
      <c r="AI16" s="113">
        <f>AD16</f>
        <v>0</v>
      </c>
      <c r="AJ16" s="114">
        <f>SUM(AG16:AI16)</f>
        <v>12504.589322333464</v>
      </c>
      <c r="AK16" s="118">
        <f>AJ16/[2]Popn!$G$43*1000</f>
        <v>24.508770816520617</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57"/>
      <c r="E17" s="2"/>
      <c r="F17" s="2"/>
      <c r="G17" s="63"/>
      <c r="H17" s="2"/>
      <c r="I17" s="20"/>
      <c r="J17" s="21">
        <f>E50*'[2]C&amp;I composn'!$E$14</f>
        <v>60371.869296251047</v>
      </c>
      <c r="K17" s="21"/>
      <c r="L17" s="22"/>
      <c r="M17" s="2"/>
      <c r="N17" s="20"/>
      <c r="O17" s="21"/>
      <c r="P17" s="21"/>
      <c r="Q17" s="21"/>
      <c r="R17" s="34"/>
      <c r="T17" s="57"/>
      <c r="U17" s="2"/>
      <c r="V17" s="2"/>
      <c r="W17" s="199"/>
      <c r="X17" s="198"/>
      <c r="Y17" s="198"/>
      <c r="Z17" s="198"/>
      <c r="AA17" s="274"/>
      <c r="AB17" s="21"/>
      <c r="AC17" s="21"/>
      <c r="AD17" s="21"/>
      <c r="AE17" s="21"/>
      <c r="AF17" s="70"/>
      <c r="AG17" s="20"/>
      <c r="AH17" s="21"/>
      <c r="AI17" s="21"/>
      <c r="AJ17" s="22"/>
      <c r="AK17" s="29"/>
      <c r="AL17" s="19"/>
      <c r="AM17" s="57"/>
      <c r="AN17" s="2"/>
      <c r="AO17" s="2"/>
      <c r="AP17" s="63"/>
      <c r="AQ17" s="70"/>
      <c r="AR17" s="21">
        <f>L22*'[2]Lfill en &amp; composn'!$G$82/SUM('[2]Lfill en &amp; composn'!$G$82,'[2]Lfill en &amp; composn'!$G$84:$G$85,'[2]Lfill en &amp; composn'!$G$87:$G$88)*'[2]Lfill en &amp; composn'!$D$16</f>
        <v>14826.333046822745</v>
      </c>
      <c r="AS17" s="35">
        <f>AR17/SUM($AR$7:$AR$49)</f>
        <v>0.36560174520814093</v>
      </c>
      <c r="AT17" s="21">
        <f>AS17*'[2]Lfill en &amp; composn'!$G$64/'[2]Lfill en &amp; composn'!$B$16</f>
        <v>22131.409427486484</v>
      </c>
      <c r="AU17" s="25"/>
      <c r="AV17" s="21"/>
      <c r="AW17" s="22"/>
      <c r="AX17" s="82"/>
      <c r="AY17" s="20"/>
      <c r="AZ17" s="21"/>
      <c r="BA17" s="21"/>
      <c r="BB17" s="21"/>
      <c r="BC17" s="29"/>
      <c r="BD17" s="30"/>
      <c r="BJ17" s="427" t="s">
        <v>138</v>
      </c>
      <c r="BK17" s="428" t="str">
        <f>IF(SUM(BH11:BJ11)=BK11,"OK","Problem")</f>
        <v>OK</v>
      </c>
    </row>
    <row r="18" spans="1:67">
      <c r="A18" s="699"/>
      <c r="B18" s="23"/>
      <c r="C18" s="17" t="s">
        <v>23</v>
      </c>
      <c r="D18" s="57"/>
      <c r="E18" s="2"/>
      <c r="F18" s="2"/>
      <c r="G18" s="63"/>
      <c r="H18" s="2"/>
      <c r="I18" s="20"/>
      <c r="J18" s="21">
        <f>E50*'[2]C&amp;I composn'!$E$15</f>
        <v>2237.2560710387265</v>
      </c>
      <c r="K18" s="21"/>
      <c r="L18" s="22"/>
      <c r="M18" s="2"/>
      <c r="N18" s="20"/>
      <c r="O18" s="21"/>
      <c r="P18" s="21"/>
      <c r="Q18" s="21"/>
      <c r="R18" s="34"/>
      <c r="T18" s="201"/>
      <c r="U18" s="2"/>
      <c r="V18" s="2"/>
      <c r="W18" s="199"/>
      <c r="X18" s="198"/>
      <c r="Y18" s="198"/>
      <c r="Z18" s="198"/>
      <c r="AA18" s="274"/>
      <c r="AB18" s="21"/>
      <c r="AC18" s="21"/>
      <c r="AD18" s="21"/>
      <c r="AE18" s="21"/>
      <c r="AF18" s="70"/>
      <c r="AG18" s="20"/>
      <c r="AH18" s="21"/>
      <c r="AI18" s="21"/>
      <c r="AJ18" s="22"/>
      <c r="AK18" s="29"/>
      <c r="AL18" s="19"/>
      <c r="AM18" s="57"/>
      <c r="AN18" s="2"/>
      <c r="AO18" s="2"/>
      <c r="AP18" s="63"/>
      <c r="AQ18" s="68"/>
      <c r="AR18" s="21">
        <f>L22*'[2]Lfill en &amp; composn'!$G$84/SUM('[2]Lfill en &amp; composn'!$G$82,'[2]Lfill en &amp; composn'!$G$84:$G$85,'[2]Lfill en &amp; composn'!$G$87:$G$88)*'[2]Lfill en &amp; composn'!$D$18</f>
        <v>4468.1271139619212</v>
      </c>
      <c r="AS18" s="35">
        <f>AR18/SUM($AR$7:$AR$49)</f>
        <v>0.11017930499182738</v>
      </c>
      <c r="AT18" s="21">
        <f>AS18*'[2]Lfill en &amp; composn'!$G$64/'[2]Lfill en &amp; composn'!$B$18</f>
        <v>5002.2121225552746</v>
      </c>
      <c r="AU18" s="25"/>
      <c r="AV18" s="21"/>
      <c r="AW18" s="22"/>
      <c r="AX18" s="2"/>
      <c r="AY18" s="20"/>
      <c r="AZ18" s="21"/>
      <c r="BA18" s="21"/>
      <c r="BB18" s="21"/>
      <c r="BC18" s="29"/>
      <c r="BD18" s="36"/>
    </row>
    <row r="19" spans="1:67">
      <c r="A19" s="699"/>
      <c r="B19" s="23"/>
      <c r="C19" s="17" t="s">
        <v>24</v>
      </c>
      <c r="D19" s="57"/>
      <c r="E19" s="2"/>
      <c r="F19" s="2"/>
      <c r="G19" s="63"/>
      <c r="H19" s="2"/>
      <c r="I19" s="20"/>
      <c r="J19" s="21">
        <f>E50*'[2]C&amp;I composn'!$E$16</f>
        <v>20050.061405103246</v>
      </c>
      <c r="K19" s="21"/>
      <c r="L19" s="22"/>
      <c r="M19" s="2"/>
      <c r="N19" s="20"/>
      <c r="O19" s="21"/>
      <c r="P19" s="21"/>
      <c r="Q19" s="21"/>
      <c r="R19" s="34"/>
      <c r="T19" s="57"/>
      <c r="U19" s="2"/>
      <c r="V19" s="2"/>
      <c r="W19" s="199"/>
      <c r="X19" s="198"/>
      <c r="Y19" s="198"/>
      <c r="Z19" s="198"/>
      <c r="AA19" s="274"/>
      <c r="AB19" s="21"/>
      <c r="AC19" s="21"/>
      <c r="AD19" s="21"/>
      <c r="AE19" s="21"/>
      <c r="AF19" s="70"/>
      <c r="AG19" s="20"/>
      <c r="AH19" s="21"/>
      <c r="AI19" s="21"/>
      <c r="AJ19" s="22"/>
      <c r="AK19" s="29"/>
      <c r="AL19" s="19"/>
      <c r="AM19" s="57"/>
      <c r="AN19" s="2"/>
      <c r="AO19" s="2"/>
      <c r="AP19" s="63"/>
      <c r="AQ19" s="70"/>
      <c r="AR19" s="21">
        <f>L22*'[2]Lfill en &amp; composn'!$G$85/SUM('[2]Lfill en &amp; composn'!$G$82,'[2]Lfill en &amp; composn'!$G$84:$G$85,'[2]Lfill en &amp; composn'!$G$87:$G$88)*'[2]Lfill en &amp; composn'!$D$19</f>
        <v>2278.444618012139</v>
      </c>
      <c r="AS19" s="35">
        <f>AR19/SUM($AR$7:$AR$49)</f>
        <v>5.6184042680994889E-2</v>
      </c>
      <c r="AT19" s="21">
        <f>AS19*'[2]Lfill en &amp; composn'!$G$64/'[2]Lfill en &amp; composn'!$B$19</f>
        <v>1186.4149244761561</v>
      </c>
      <c r="AU19" s="25"/>
      <c r="AV19" s="21"/>
      <c r="AW19" s="22"/>
      <c r="AX19" s="2"/>
      <c r="AY19" s="20"/>
      <c r="AZ19" s="21"/>
      <c r="BA19" s="21"/>
      <c r="BB19" s="21"/>
      <c r="BC19" s="29"/>
    </row>
    <row r="20" spans="1:67">
      <c r="A20" s="699"/>
      <c r="B20" s="23"/>
      <c r="C20" s="17" t="s">
        <v>25</v>
      </c>
      <c r="D20" s="57"/>
      <c r="E20" s="2"/>
      <c r="F20" s="2"/>
      <c r="G20" s="63"/>
      <c r="H20" s="2"/>
      <c r="I20" s="20"/>
      <c r="J20" s="21">
        <f>E50*'[2]C&amp;I composn'!$E$17</f>
        <v>17704.340367007022</v>
      </c>
      <c r="K20" s="21"/>
      <c r="L20" s="22"/>
      <c r="M20" s="2"/>
      <c r="N20" s="20"/>
      <c r="O20" s="21"/>
      <c r="P20" s="21"/>
      <c r="Q20" s="21"/>
      <c r="R20" s="34"/>
      <c r="T20" s="57"/>
      <c r="U20" s="2"/>
      <c r="V20" s="2"/>
      <c r="W20" s="199"/>
      <c r="X20" s="198"/>
      <c r="Y20" s="198"/>
      <c r="Z20" s="198"/>
      <c r="AA20" s="274"/>
      <c r="AB20" s="21"/>
      <c r="AC20" s="21"/>
      <c r="AD20" s="21"/>
      <c r="AE20" s="21"/>
      <c r="AF20" s="70"/>
      <c r="AG20" s="20"/>
      <c r="AH20" s="21"/>
      <c r="AI20" s="21"/>
      <c r="AJ20" s="22"/>
      <c r="AK20" s="29"/>
      <c r="AL20" s="19"/>
      <c r="AM20" s="57"/>
      <c r="AN20" s="2"/>
      <c r="AO20" s="2"/>
      <c r="AP20" s="63"/>
      <c r="AQ20" s="68"/>
      <c r="AR20" s="21">
        <f>L22*'[2]Lfill en &amp; composn'!$G$93/SUM('[2]Lfill en &amp; composn'!$G$82,'[2]Lfill en &amp; composn'!$G$84:$G$85,'[2]Lfill en &amp; composn'!$G$87:$G$88)*'[2]Lfill en &amp; composn'!$D$24</f>
        <v>1190.3983430351834</v>
      </c>
      <c r="AS20" s="35">
        <f>AR20/SUM($AR$7:$AR$49)</f>
        <v>2.9353968397452621E-2</v>
      </c>
      <c r="AT20" s="21">
        <f>AS20*'[2]Lfill en &amp; composn'!$G$64/'[2]Lfill en &amp; composn'!$B$24</f>
        <v>1110.5743842860925</v>
      </c>
      <c r="AU20" s="25"/>
      <c r="AV20" s="21"/>
      <c r="AW20" s="22"/>
      <c r="AX20" s="83"/>
      <c r="AY20" s="20"/>
      <c r="AZ20" s="21"/>
      <c r="BA20" s="21"/>
      <c r="BB20" s="21"/>
      <c r="BC20" s="29"/>
    </row>
    <row r="21" spans="1:67">
      <c r="A21" s="699"/>
      <c r="B21" s="23"/>
      <c r="C21" s="17" t="s">
        <v>0</v>
      </c>
      <c r="D21" s="201"/>
      <c r="E21" s="2"/>
      <c r="F21" s="2"/>
      <c r="G21" s="199"/>
      <c r="H21" s="198">
        <f>[2]Biosolids!$G$192</f>
        <v>13956</v>
      </c>
      <c r="I21" s="112"/>
      <c r="J21" s="113"/>
      <c r="K21" s="113"/>
      <c r="L21" s="22"/>
      <c r="M21" s="68" t="s">
        <v>193</v>
      </c>
      <c r="N21" s="20"/>
      <c r="O21" s="19"/>
      <c r="P21" s="19"/>
      <c r="Q21" s="19"/>
      <c r="R21" s="34"/>
      <c r="T21" s="201"/>
      <c r="U21" s="2"/>
      <c r="V21" s="2"/>
      <c r="W21" s="199"/>
      <c r="X21" s="198"/>
      <c r="Y21" s="198"/>
      <c r="Z21" s="198"/>
      <c r="AA21" s="278">
        <f>[2]Biosolids!$G$191</f>
        <v>17985</v>
      </c>
      <c r="AB21" s="21">
        <f>AA21</f>
        <v>17985</v>
      </c>
      <c r="AC21" s="21"/>
      <c r="AD21" s="21"/>
      <c r="AE21" s="21"/>
      <c r="AF21" s="68" t="s">
        <v>193</v>
      </c>
      <c r="AG21" s="20"/>
      <c r="AH21" s="21"/>
      <c r="AI21" s="21"/>
      <c r="AJ21" s="22"/>
      <c r="AK21" s="29"/>
      <c r="AL21" s="19"/>
      <c r="AM21" s="57"/>
      <c r="AN21" s="2"/>
      <c r="AO21" s="2"/>
      <c r="AP21" s="63"/>
      <c r="AQ21" s="68"/>
      <c r="AR21" s="21">
        <f>L22*'[2]Lfill en &amp; composn'!$G$87/SUM('[2]Lfill en &amp; composn'!$G$82,'[2]Lfill en &amp; composn'!$G$84:$G$85,'[2]Lfill en &amp; composn'!$G$87:$G$88)*'[2]Lfill en &amp; composn'!$D$21</f>
        <v>53.842030318203207</v>
      </c>
      <c r="AS21" s="35">
        <f>AR21/SUM($AR$7:$AR$49)</f>
        <v>1.3276877153453079E-3</v>
      </c>
      <c r="AT21" s="21">
        <f>AS21*'[2]Lfill en &amp; composn'!$G$64/'[2]Lfill en &amp; composn'!$B$21</f>
        <v>241.11154395684906</v>
      </c>
      <c r="AU21" s="25"/>
      <c r="AV21" s="21"/>
      <c r="AW21" s="22"/>
      <c r="AX21" s="2"/>
      <c r="AY21" s="23"/>
      <c r="AZ21" s="19"/>
      <c r="BA21" s="19"/>
      <c r="BB21" s="21"/>
      <c r="BC21" s="24"/>
    </row>
    <row r="22" spans="1:67" s="106" customFormat="1">
      <c r="A22" s="699"/>
      <c r="B22" s="107" t="s">
        <v>67</v>
      </c>
      <c r="C22" s="108"/>
      <c r="D22" s="109"/>
      <c r="E22" s="110"/>
      <c r="F22" s="110"/>
      <c r="G22" s="63"/>
      <c r="H22" s="110"/>
      <c r="I22" s="112">
        <f>D50*'[2]Lfill en &amp; composn'!B$135</f>
        <v>96847.780000000013</v>
      </c>
      <c r="J22" s="113">
        <f>SUM(J17:J21)</f>
        <v>100363.52713940004</v>
      </c>
      <c r="K22" s="113">
        <f>F50*'[2]Lfill en &amp; composn'!C$135</f>
        <v>3102.8</v>
      </c>
      <c r="L22" s="114">
        <f>SUM(I22:K22)</f>
        <v>200314.10713940003</v>
      </c>
      <c r="M22" s="110"/>
      <c r="N22" s="112">
        <f>I22-AU22</f>
        <v>82502.108172284614</v>
      </c>
      <c r="O22" s="113">
        <f>J22-AV22</f>
        <v>85497.081839220307</v>
      </c>
      <c r="P22" s="113">
        <f>K22-AW22</f>
        <v>2643.1947251342744</v>
      </c>
      <c r="Q22" s="114">
        <f>SUM(N22:P22)</f>
        <v>170642.38473663919</v>
      </c>
      <c r="R22" s="115">
        <f>Q22/[2]Popn!$G$43*1000</f>
        <v>334.45601381128643</v>
      </c>
      <c r="T22" s="109"/>
      <c r="U22" s="110"/>
      <c r="V22" s="110"/>
      <c r="W22" s="203">
        <f>[2]TAS!$G$18</f>
        <v>43931</v>
      </c>
      <c r="X22" s="130"/>
      <c r="Y22" s="130"/>
      <c r="Z22" s="130"/>
      <c r="AA22" s="276"/>
      <c r="AB22" s="113">
        <f>$W22*Vic!AG22/SUM(Vic!$AG22:$AH22)</f>
        <v>27933.932315888254</v>
      </c>
      <c r="AC22" s="113">
        <f>$W22*Vic!AH22/SUM(Vic!$AG22:$AH22)</f>
        <v>15997.067684111744</v>
      </c>
      <c r="AD22" s="113"/>
      <c r="AE22" s="113">
        <f>SUM(AB22:AD22)</f>
        <v>43931</v>
      </c>
      <c r="AF22" s="70" t="s">
        <v>98</v>
      </c>
      <c r="AG22" s="112">
        <f>AB22</f>
        <v>27933.932315888254</v>
      </c>
      <c r="AH22" s="113">
        <f>AC22</f>
        <v>15997.067684111744</v>
      </c>
      <c r="AI22" s="113">
        <f>AD22</f>
        <v>0</v>
      </c>
      <c r="AJ22" s="114">
        <f>SUM(AG22:AI22)</f>
        <v>43931</v>
      </c>
      <c r="AK22" s="118">
        <f>AJ22/[2]Popn!$G$43*1000</f>
        <v>86.103972148654833</v>
      </c>
      <c r="AL22" s="119"/>
      <c r="AM22" s="109"/>
      <c r="AN22" s="110"/>
      <c r="AO22" s="110"/>
      <c r="AP22" s="111"/>
      <c r="AQ22" s="116"/>
      <c r="AR22" s="113"/>
      <c r="AS22" s="113"/>
      <c r="AT22" s="113">
        <f>SUM(AT17:AT21)</f>
        <v>29671.722402760861</v>
      </c>
      <c r="AU22" s="120">
        <f>$AT22*I22/SUM($I22:$K22)</f>
        <v>14345.671827715401</v>
      </c>
      <c r="AV22" s="113">
        <f>$AT22*J22/SUM($I22:$K22)</f>
        <v>14866.445300179737</v>
      </c>
      <c r="AW22" s="114">
        <f>$AT22*K22/SUM($I22:$K22)</f>
        <v>459.60527486572579</v>
      </c>
      <c r="AX22" s="110"/>
      <c r="AY22" s="241">
        <f>AU22</f>
        <v>14345.671827715401</v>
      </c>
      <c r="AZ22" s="242">
        <f>AV22</f>
        <v>14866.445300179737</v>
      </c>
      <c r="BA22" s="242">
        <f>AW22</f>
        <v>459.60527486572579</v>
      </c>
      <c r="BB22" s="243">
        <f>AT22+AP22</f>
        <v>29671.722402760861</v>
      </c>
      <c r="BC22" s="118">
        <f>BB22/[2]Popn!$G$43*1000</f>
        <v>58.156043781610684</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20"/>
      <c r="J23" s="21">
        <f>E50*'[2]C&amp;I composn'!$E$18</f>
        <v>32349.558837531717</v>
      </c>
      <c r="K23" s="21"/>
      <c r="L23" s="22"/>
      <c r="M23" s="2"/>
      <c r="N23" s="23"/>
      <c r="O23" s="19"/>
      <c r="P23" s="19"/>
      <c r="Q23" s="19"/>
      <c r="R23" s="33"/>
      <c r="T23" s="57"/>
      <c r="U23" s="2"/>
      <c r="V23" s="2"/>
      <c r="W23" s="199"/>
      <c r="X23" s="198"/>
      <c r="Y23" s="198"/>
      <c r="Z23" s="198"/>
      <c r="AA23" s="274"/>
      <c r="AB23" s="21"/>
      <c r="AC23" s="21">
        <f>($AC$50-$AC$22-$AC$37)*'[2]C&amp;I composn'!D79</f>
        <v>22660.149881325488</v>
      </c>
      <c r="AD23" s="21"/>
      <c r="AE23" s="21"/>
      <c r="AF23" s="70"/>
      <c r="AG23" s="20"/>
      <c r="AH23" s="21"/>
      <c r="AI23" s="21"/>
      <c r="AJ23" s="22"/>
      <c r="AK23" s="29"/>
      <c r="AL23" s="19"/>
      <c r="AM23" s="57"/>
      <c r="AN23" s="2"/>
      <c r="AO23" s="2"/>
      <c r="AP23" s="63"/>
      <c r="AQ23" s="68"/>
      <c r="AR23" s="21"/>
      <c r="AS23" s="21"/>
      <c r="AT23" s="21"/>
      <c r="AU23" s="240"/>
      <c r="AV23" s="19"/>
      <c r="AW23" s="195"/>
      <c r="AX23" s="2"/>
      <c r="AY23" s="238"/>
      <c r="BB23" s="19"/>
      <c r="BC23" s="24"/>
      <c r="BG23" s="147" t="s">
        <v>3</v>
      </c>
      <c r="BH23" s="52">
        <f>Q12/1000</f>
        <v>39.834563348979891</v>
      </c>
      <c r="BI23" s="52">
        <f>AJ12/1000</f>
        <v>2.7727140033419619</v>
      </c>
      <c r="BJ23" s="52">
        <f>BB12/1000</f>
        <v>0</v>
      </c>
      <c r="BK23" s="137">
        <f>SUM(BI23:BJ23)/BL23</f>
        <v>6.5076066241319341E-2</v>
      </c>
      <c r="BL23" s="52">
        <f>SUM(BH23:BJ23)</f>
        <v>42.607277352321852</v>
      </c>
    </row>
    <row r="24" spans="1:67">
      <c r="A24" s="699"/>
      <c r="B24" s="23"/>
      <c r="C24" s="17" t="s">
        <v>27</v>
      </c>
      <c r="D24" s="57"/>
      <c r="E24" s="2"/>
      <c r="F24" s="2"/>
      <c r="G24" s="63"/>
      <c r="H24" s="2"/>
      <c r="I24" s="20"/>
      <c r="J24" s="725">
        <f>E50*'[2]C&amp;I composn'!$E$20</f>
        <v>10635.040129226998</v>
      </c>
      <c r="K24" s="21"/>
      <c r="L24" s="22"/>
      <c r="M24" s="2"/>
      <c r="N24" s="23"/>
      <c r="O24" s="19"/>
      <c r="P24" s="19"/>
      <c r="Q24" s="19"/>
      <c r="R24" s="33"/>
      <c r="T24" s="57"/>
      <c r="U24" s="2"/>
      <c r="V24" s="2"/>
      <c r="W24" s="199"/>
      <c r="X24" s="198"/>
      <c r="Y24" s="198"/>
      <c r="Z24" s="198"/>
      <c r="AA24" s="274"/>
      <c r="AB24" s="21"/>
      <c r="AD24" s="21"/>
      <c r="AE24" s="21"/>
      <c r="AF24" s="70"/>
      <c r="AG24" s="20"/>
      <c r="AH24" s="21"/>
      <c r="AI24" s="21"/>
      <c r="AJ24" s="22"/>
      <c r="AK24" s="29"/>
      <c r="AL24" s="19"/>
      <c r="AM24" s="57"/>
      <c r="AN24" s="2"/>
      <c r="AO24" s="2"/>
      <c r="AP24" s="63"/>
      <c r="AQ24" s="68"/>
      <c r="AR24" s="21"/>
      <c r="AS24" s="21"/>
      <c r="AT24" s="21"/>
      <c r="AU24" s="240"/>
      <c r="AV24" s="19"/>
      <c r="AW24" s="195"/>
      <c r="AX24" s="2"/>
      <c r="AY24" s="238"/>
      <c r="BB24" s="19"/>
      <c r="BC24" s="24"/>
      <c r="BG24" s="147" t="s">
        <v>4</v>
      </c>
      <c r="BH24" s="52">
        <f>Q16/1000</f>
        <v>14.557115633997098</v>
      </c>
      <c r="BI24" s="52">
        <f>AJ16/1000</f>
        <v>12.504589322333464</v>
      </c>
      <c r="BJ24" s="52">
        <f>BB16/1000</f>
        <v>0</v>
      </c>
      <c r="BK24" s="137">
        <f t="shared" ref="BK24:BK31" si="2">SUM(BI24:BJ24)/BL24</f>
        <v>0.46207692170586084</v>
      </c>
      <c r="BL24" s="52">
        <f t="shared" ref="BL24:BL31" si="3">SUM(BH24:BJ24)</f>
        <v>27.061704956330562</v>
      </c>
    </row>
    <row r="25" spans="1:67">
      <c r="A25" s="699"/>
      <c r="B25" s="23"/>
      <c r="C25" s="17" t="s">
        <v>28</v>
      </c>
      <c r="D25" s="57"/>
      <c r="E25" s="2"/>
      <c r="F25" s="2"/>
      <c r="G25" s="63"/>
      <c r="H25" s="2"/>
      <c r="I25" s="20"/>
      <c r="J25" s="725"/>
      <c r="K25" s="21"/>
      <c r="L25" s="22"/>
      <c r="M25" s="2"/>
      <c r="N25" s="23"/>
      <c r="O25" s="19"/>
      <c r="P25" s="19"/>
      <c r="Q25" s="19"/>
      <c r="R25" s="33"/>
      <c r="T25" s="57"/>
      <c r="U25" s="2"/>
      <c r="V25" s="2"/>
      <c r="W25" s="199"/>
      <c r="X25" s="198"/>
      <c r="Y25" s="198"/>
      <c r="Z25" s="198"/>
      <c r="AA25" s="274"/>
      <c r="AB25" s="21"/>
      <c r="AC25" s="21">
        <f>($AC$50-$AC$22-$AC$37)*'[2]C&amp;I composn'!D81</f>
        <v>3485.1928993412466</v>
      </c>
      <c r="AD25" s="21"/>
      <c r="AE25" s="21"/>
      <c r="AF25" s="70"/>
      <c r="AG25" s="20"/>
      <c r="AH25" s="21"/>
      <c r="AI25" s="21"/>
      <c r="AJ25" s="22"/>
      <c r="AK25" s="29"/>
      <c r="AL25" s="19"/>
      <c r="AM25" s="57"/>
      <c r="AN25" s="2"/>
      <c r="AO25" s="2"/>
      <c r="AP25" s="63"/>
      <c r="AQ25" s="68"/>
      <c r="AR25" s="21"/>
      <c r="AS25" s="21"/>
      <c r="AT25" s="21"/>
      <c r="AU25" s="240"/>
      <c r="AV25" s="19"/>
      <c r="AW25" s="195"/>
      <c r="AX25" s="2"/>
      <c r="AY25" s="238"/>
      <c r="BB25" s="19"/>
      <c r="BC25" s="24"/>
      <c r="BG25" s="147" t="s">
        <v>2</v>
      </c>
      <c r="BH25" s="52">
        <f>Q22/1000</f>
        <v>170.64238473663917</v>
      </c>
      <c r="BI25" s="52">
        <f>AJ22/1000</f>
        <v>43.930999999999997</v>
      </c>
      <c r="BJ25" s="52">
        <f>BB22/1000</f>
        <v>29.67172240276086</v>
      </c>
      <c r="BK25" s="137">
        <f t="shared" si="2"/>
        <v>0.30134778651165761</v>
      </c>
      <c r="BL25" s="52">
        <f t="shared" si="3"/>
        <v>244.24510713940003</v>
      </c>
    </row>
    <row r="26" spans="1:67">
      <c r="A26" s="699"/>
      <c r="B26" s="23"/>
      <c r="C26" s="17" t="s">
        <v>29</v>
      </c>
      <c r="D26" s="57"/>
      <c r="E26" s="2"/>
      <c r="F26" s="2"/>
      <c r="G26" s="63"/>
      <c r="H26" s="2"/>
      <c r="I26" s="20"/>
      <c r="J26" s="21">
        <f>E50*'[2]C&amp;I composn'!$E$19</f>
        <v>15875.228022646206</v>
      </c>
      <c r="K26" s="21"/>
      <c r="L26" s="22"/>
      <c r="M26" s="2"/>
      <c r="N26" s="23"/>
      <c r="O26" s="19"/>
      <c r="P26" s="19"/>
      <c r="Q26" s="19"/>
      <c r="R26" s="33"/>
      <c r="T26" s="57"/>
      <c r="U26" s="2"/>
      <c r="V26" s="2"/>
      <c r="W26" s="199"/>
      <c r="X26" s="198"/>
      <c r="Y26" s="198"/>
      <c r="Z26" s="198"/>
      <c r="AA26" s="274"/>
      <c r="AB26" s="21"/>
      <c r="AC26" s="21">
        <f>($AC$50-$AC$22-$AC$37)*'[2]C&amp;I composn'!D80</f>
        <v>8661.8557795400011</v>
      </c>
      <c r="AD26" s="21"/>
      <c r="AE26" s="21"/>
      <c r="AF26" s="70"/>
      <c r="AG26" s="20"/>
      <c r="AH26" s="21"/>
      <c r="AI26" s="21"/>
      <c r="AJ26" s="22"/>
      <c r="AK26" s="29"/>
      <c r="AL26" s="19"/>
      <c r="AM26" s="57"/>
      <c r="AN26" s="2"/>
      <c r="AO26" s="2"/>
      <c r="AP26" s="63"/>
      <c r="AQ26" s="68"/>
      <c r="AR26" s="21"/>
      <c r="AS26" s="21"/>
      <c r="AT26" s="21"/>
      <c r="AU26" s="240"/>
      <c r="AV26" s="19"/>
      <c r="AW26" s="195"/>
      <c r="AX26" s="2"/>
      <c r="AY26" s="238"/>
      <c r="BB26" s="19"/>
      <c r="BC26" s="24"/>
      <c r="BG26" s="147" t="s">
        <v>5</v>
      </c>
      <c r="BH26" s="52">
        <f>Q27/1000</f>
        <v>73.276700997272457</v>
      </c>
      <c r="BI26" s="52">
        <f>AJ27/1000</f>
        <v>76.656198560206747</v>
      </c>
      <c r="BJ26" s="52">
        <f>BB27/1000</f>
        <v>9.0302359921324573</v>
      </c>
      <c r="BK26" s="137">
        <f t="shared" si="2"/>
        <v>0.53903336931597501</v>
      </c>
      <c r="BL26" s="52">
        <f t="shared" si="3"/>
        <v>158.96313554961165</v>
      </c>
    </row>
    <row r="27" spans="1:67" s="106" customFormat="1">
      <c r="A27" s="699"/>
      <c r="B27" s="107" t="s">
        <v>67</v>
      </c>
      <c r="C27" s="108"/>
      <c r="D27" s="109"/>
      <c r="E27" s="110"/>
      <c r="F27" s="110"/>
      <c r="G27" s="63"/>
      <c r="H27" s="110"/>
      <c r="I27" s="112">
        <f>D50*'[2]Lfill en &amp; composn'!B$136</f>
        <v>22283.56</v>
      </c>
      <c r="J27" s="113">
        <f>SUM(J23:J26)</f>
        <v>58859.826989404915</v>
      </c>
      <c r="K27" s="113">
        <f>F50*'[2]Lfill en &amp; composn'!C$136</f>
        <v>1163.55</v>
      </c>
      <c r="L27" s="114">
        <f>SUM(I27:K27)</f>
        <v>82306.936989404916</v>
      </c>
      <c r="M27" s="110"/>
      <c r="N27" s="112">
        <f>I27-AU27</f>
        <v>19838.738057825842</v>
      </c>
      <c r="O27" s="113">
        <f>J27-AV27</f>
        <v>52402.070843785812</v>
      </c>
      <c r="P27" s="113">
        <f>K27-AW27</f>
        <v>1035.8920956608035</v>
      </c>
      <c r="Q27" s="114">
        <f>SUM(N27:P27)</f>
        <v>73276.700997272463</v>
      </c>
      <c r="R27" s="115">
        <f>Q27/[2]Popn!$G$43*1000</f>
        <v>143.62101982232264</v>
      </c>
      <c r="T27" s="202">
        <f>SUM([2]TAS!$I$36:$I$37)</f>
        <v>41849</v>
      </c>
      <c r="U27" s="110"/>
      <c r="V27" s="110"/>
      <c r="W27" s="203"/>
      <c r="X27" s="130"/>
      <c r="Y27" s="130"/>
      <c r="Z27" s="130"/>
      <c r="AA27" s="276"/>
      <c r="AB27" s="113">
        <f>T27</f>
        <v>41849</v>
      </c>
      <c r="AC27" s="113">
        <f>SUM(AC23:AC26)</f>
        <v>34807.198560206736</v>
      </c>
      <c r="AD27" s="113"/>
      <c r="AE27" s="113">
        <f>SUM(AB27:AD27)</f>
        <v>76656.198560206743</v>
      </c>
      <c r="AF27" s="300"/>
      <c r="AG27" s="112">
        <f>AB27</f>
        <v>41849</v>
      </c>
      <c r="AH27" s="113">
        <f>AC27</f>
        <v>34807.198560206736</v>
      </c>
      <c r="AI27" s="113">
        <f>AD27</f>
        <v>0</v>
      </c>
      <c r="AJ27" s="114">
        <f>SUM(AG27:AI27)</f>
        <v>76656.198560206743</v>
      </c>
      <c r="AK27" s="118">
        <f>AJ27/[2]Popn!$G$43*1000</f>
        <v>150.2447744383191</v>
      </c>
      <c r="AL27" s="119"/>
      <c r="AM27" s="109"/>
      <c r="AN27" s="110"/>
      <c r="AO27" s="110"/>
      <c r="AP27" s="111"/>
      <c r="AQ27" s="117"/>
      <c r="AR27" s="113">
        <f>L27*'[2]Lfill en &amp; composn'!$D$17</f>
        <v>16132.159649923364</v>
      </c>
      <c r="AS27" s="123">
        <f>AR27/SUM($AR$7:$AR$49)</f>
        <v>0.3978020528314149</v>
      </c>
      <c r="AT27" s="113">
        <f>AS27*'[2]Lfill en &amp; composn'!$G$64/'[2]Lfill en &amp; composn'!$B$17</f>
        <v>9030.2359921324569</v>
      </c>
      <c r="AU27" s="120">
        <f>$AT27*I27/SUM($I27:$K27)</f>
        <v>2444.8219421741601</v>
      </c>
      <c r="AV27" s="113">
        <f>$AT27*J27/SUM($I27:$K27)</f>
        <v>6457.7561456191006</v>
      </c>
      <c r="AW27" s="114">
        <f>$AT27*K27/SUM($I27:$K27)</f>
        <v>127.65790433919641</v>
      </c>
      <c r="AX27" s="110"/>
      <c r="AY27" s="241">
        <f>AU27</f>
        <v>2444.8219421741601</v>
      </c>
      <c r="AZ27" s="242">
        <f>AV27</f>
        <v>6457.7561456191006</v>
      </c>
      <c r="BA27" s="242">
        <f>AW27</f>
        <v>127.65790433919641</v>
      </c>
      <c r="BB27" s="114">
        <f>AT27+AP27</f>
        <v>9030.2359921324569</v>
      </c>
      <c r="BC27" s="118">
        <f>BB27/[2]Popn!$G$43*1000</f>
        <v>17.699100597809146</v>
      </c>
      <c r="BD27" s="122"/>
      <c r="BG27" s="147" t="s">
        <v>6</v>
      </c>
      <c r="BH27" s="52">
        <f>Q37/1000</f>
        <v>52.086596835156584</v>
      </c>
      <c r="BI27" s="52">
        <f>AJ37/1000</f>
        <v>3.5569999999999995</v>
      </c>
      <c r="BJ27" s="52">
        <f>BB37/1000</f>
        <v>0</v>
      </c>
      <c r="BK27" s="137">
        <f t="shared" si="2"/>
        <v>6.392469578373168E-2</v>
      </c>
      <c r="BL27" s="52">
        <f t="shared" si="3"/>
        <v>55.643596835156586</v>
      </c>
      <c r="BM27" s="6"/>
      <c r="BN27" s="6"/>
      <c r="BO27" s="6"/>
    </row>
    <row r="28" spans="1:67">
      <c r="A28" s="699"/>
      <c r="B28" s="23" t="s">
        <v>6</v>
      </c>
      <c r="C28" s="17" t="s">
        <v>30</v>
      </c>
      <c r="D28" s="57"/>
      <c r="E28" s="2"/>
      <c r="F28" s="2"/>
      <c r="G28" s="63"/>
      <c r="H28" s="2"/>
      <c r="I28" s="20"/>
      <c r="J28" s="21"/>
      <c r="K28" s="21"/>
      <c r="L28" s="22"/>
      <c r="M28" s="2"/>
      <c r="N28" s="23"/>
      <c r="O28" s="19"/>
      <c r="P28" s="19"/>
      <c r="Q28" s="19"/>
      <c r="R28" s="33"/>
      <c r="T28" s="57"/>
      <c r="U28" s="2"/>
      <c r="V28" s="2"/>
      <c r="W28" s="199"/>
      <c r="X28" s="198"/>
      <c r="Y28" s="198"/>
      <c r="Z28" s="198"/>
      <c r="AA28" s="274"/>
      <c r="AB28" s="21"/>
      <c r="AC28" s="21"/>
      <c r="AD28" s="21"/>
      <c r="AE28" s="21"/>
      <c r="AF28" s="70"/>
      <c r="AG28" s="20"/>
      <c r="AH28" s="21"/>
      <c r="AI28" s="21"/>
      <c r="AJ28" s="22"/>
      <c r="AK28" s="29"/>
      <c r="AL28" s="19"/>
      <c r="AM28" s="57"/>
      <c r="AN28" s="2"/>
      <c r="AO28" s="2"/>
      <c r="AP28" s="63"/>
      <c r="AQ28" s="68"/>
      <c r="AR28" s="21"/>
      <c r="AS28" s="21"/>
      <c r="AT28" s="21"/>
      <c r="AU28" s="240"/>
      <c r="AV28" s="19"/>
      <c r="AW28" s="195"/>
      <c r="AX28" s="2"/>
      <c r="AY28" s="238"/>
      <c r="BB28" s="19"/>
      <c r="BC28" s="24"/>
      <c r="BG28" s="147" t="s">
        <v>8</v>
      </c>
      <c r="BH28" s="52">
        <f>Q38/1000</f>
        <v>10.643726486301077</v>
      </c>
      <c r="BI28" s="52">
        <f>AJ38/1000</f>
        <v>16.955236317285532</v>
      </c>
      <c r="BJ28" s="52">
        <f>BB38/1000</f>
        <v>0</v>
      </c>
      <c r="BK28" s="137">
        <f t="shared" si="2"/>
        <v>0.61434324318456357</v>
      </c>
      <c r="BL28" s="52">
        <f t="shared" si="3"/>
        <v>27.598962803586609</v>
      </c>
    </row>
    <row r="29" spans="1:67">
      <c r="A29" s="699"/>
      <c r="B29" s="23"/>
      <c r="C29" s="17" t="s">
        <v>31</v>
      </c>
      <c r="D29" s="57"/>
      <c r="E29" s="2"/>
      <c r="F29" s="2"/>
      <c r="G29" s="63"/>
      <c r="H29" s="2"/>
      <c r="I29" s="20"/>
      <c r="J29" s="21"/>
      <c r="K29" s="21"/>
      <c r="L29" s="22"/>
      <c r="M29" s="2"/>
      <c r="N29" s="23"/>
      <c r="O29" s="19"/>
      <c r="P29" s="19"/>
      <c r="Q29" s="19"/>
      <c r="R29" s="33"/>
      <c r="T29" s="57"/>
      <c r="U29" s="2"/>
      <c r="V29" s="2"/>
      <c r="W29" s="199"/>
      <c r="X29" s="198"/>
      <c r="Y29" s="198"/>
      <c r="Z29" s="198"/>
      <c r="AA29" s="274"/>
      <c r="AB29" s="21"/>
      <c r="AC29" s="21"/>
      <c r="AD29" s="21"/>
      <c r="AE29" s="21"/>
      <c r="AF29" s="70"/>
      <c r="AG29" s="20"/>
      <c r="AH29" s="21"/>
      <c r="AI29" s="21"/>
      <c r="AJ29" s="22"/>
      <c r="AK29" s="29"/>
      <c r="AL29" s="19"/>
      <c r="AM29" s="57"/>
      <c r="AN29" s="2"/>
      <c r="AO29" s="2"/>
      <c r="AP29" s="63"/>
      <c r="AQ29" s="68"/>
      <c r="AR29" s="21"/>
      <c r="AS29" s="21"/>
      <c r="AT29" s="21"/>
      <c r="AU29" s="240"/>
      <c r="AV29" s="19"/>
      <c r="AW29" s="195"/>
      <c r="AX29" s="2"/>
      <c r="AY29" s="238"/>
      <c r="BB29" s="19"/>
      <c r="BC29" s="24"/>
      <c r="BG29" s="147" t="s">
        <v>7</v>
      </c>
      <c r="BH29" s="52">
        <f>Q41/1000</f>
        <v>9.0435807842315885</v>
      </c>
      <c r="BI29" s="52">
        <f>AJ41/1000</f>
        <v>0.49926179683226857</v>
      </c>
      <c r="BJ29" s="52">
        <f>BB41/1000</f>
        <v>1.1400953185592597</v>
      </c>
      <c r="BK29" s="137">
        <f t="shared" si="2"/>
        <v>0.15345564401805267</v>
      </c>
      <c r="BL29" s="52">
        <f t="shared" si="3"/>
        <v>10.682937899623116</v>
      </c>
    </row>
    <row r="30" spans="1:67">
      <c r="A30" s="699"/>
      <c r="B30" s="23"/>
      <c r="C30" s="17" t="s">
        <v>32</v>
      </c>
      <c r="D30" s="57"/>
      <c r="E30" s="2"/>
      <c r="F30" s="2"/>
      <c r="G30" s="63"/>
      <c r="H30" s="2"/>
      <c r="I30" s="20"/>
      <c r="J30" s="21"/>
      <c r="K30" s="21"/>
      <c r="L30" s="22"/>
      <c r="M30" s="2"/>
      <c r="N30" s="23"/>
      <c r="O30" s="19"/>
      <c r="P30" s="19"/>
      <c r="Q30" s="19"/>
      <c r="R30" s="33"/>
      <c r="T30" s="57"/>
      <c r="U30" s="2"/>
      <c r="V30" s="2"/>
      <c r="W30" s="199"/>
      <c r="X30" s="198"/>
      <c r="Y30" s="198"/>
      <c r="Z30" s="198"/>
      <c r="AA30" s="274"/>
      <c r="AB30" s="21"/>
      <c r="AC30" s="21"/>
      <c r="AD30" s="21"/>
      <c r="AE30" s="21"/>
      <c r="AF30" s="70"/>
      <c r="AG30" s="20"/>
      <c r="AH30" s="21"/>
      <c r="AI30" s="21"/>
      <c r="AJ30" s="22"/>
      <c r="AK30" s="29"/>
      <c r="AL30" s="19"/>
      <c r="AM30" s="57"/>
      <c r="AN30" s="2"/>
      <c r="AO30" s="2"/>
      <c r="AP30" s="63"/>
      <c r="AQ30" s="68"/>
      <c r="AR30" s="21"/>
      <c r="AS30" s="21"/>
      <c r="AT30" s="21"/>
      <c r="AU30" s="240"/>
      <c r="AV30" s="19"/>
      <c r="AW30" s="195"/>
      <c r="AX30" s="2"/>
      <c r="AY30" s="238"/>
      <c r="BB30" s="19"/>
      <c r="BC30" s="24"/>
      <c r="BG30" s="147" t="s">
        <v>11</v>
      </c>
      <c r="BH30" s="52">
        <f>Q46/1000</f>
        <v>35.625410845654287</v>
      </c>
      <c r="BI30" s="52">
        <f>AJ46/1000</f>
        <v>0</v>
      </c>
      <c r="BJ30" s="52">
        <f>BB46/1000</f>
        <v>0</v>
      </c>
      <c r="BK30" s="137">
        <f t="shared" si="2"/>
        <v>0</v>
      </c>
      <c r="BL30" s="52">
        <f t="shared" si="3"/>
        <v>35.625410845654287</v>
      </c>
    </row>
    <row r="31" spans="1:67" s="90" customFormat="1">
      <c r="A31" s="699"/>
      <c r="B31" s="91" t="s">
        <v>42</v>
      </c>
      <c r="C31" s="92"/>
      <c r="D31" s="93"/>
      <c r="E31" s="94"/>
      <c r="F31" s="94"/>
      <c r="G31" s="63"/>
      <c r="H31" s="94"/>
      <c r="I31" s="96"/>
      <c r="J31" s="97"/>
      <c r="K31" s="97"/>
      <c r="L31" s="98"/>
      <c r="M31" s="94"/>
      <c r="N31" s="96"/>
      <c r="O31" s="97"/>
      <c r="P31" s="97"/>
      <c r="Q31" s="97"/>
      <c r="R31" s="99"/>
      <c r="T31" s="93"/>
      <c r="U31" s="94"/>
      <c r="V31" s="94"/>
      <c r="W31" s="211"/>
      <c r="X31" s="289"/>
      <c r="Y31" s="289"/>
      <c r="Z31" s="289"/>
      <c r="AA31" s="280"/>
      <c r="AB31" s="97"/>
      <c r="AC31" s="97"/>
      <c r="AD31" s="97"/>
      <c r="AE31" s="97"/>
      <c r="AF31" s="101"/>
      <c r="AG31" s="96"/>
      <c r="AH31" s="97"/>
      <c r="AI31" s="97"/>
      <c r="AJ31" s="98"/>
      <c r="AK31" s="102"/>
      <c r="AL31" s="103"/>
      <c r="AM31" s="93"/>
      <c r="AN31" s="94"/>
      <c r="AO31" s="94"/>
      <c r="AP31" s="95"/>
      <c r="AQ31" s="100"/>
      <c r="AR31" s="97"/>
      <c r="AS31" s="128"/>
      <c r="AT31" s="128"/>
      <c r="AU31" s="104"/>
      <c r="AV31" s="97"/>
      <c r="AW31" s="98"/>
      <c r="AX31" s="94"/>
      <c r="AY31" s="239"/>
      <c r="BB31" s="97"/>
      <c r="BC31" s="105"/>
      <c r="BG31" s="147" t="s">
        <v>1</v>
      </c>
      <c r="BH31" s="52">
        <f>Q47/1000</f>
        <v>0</v>
      </c>
      <c r="BI31" s="52">
        <f>AJ47/1000</f>
        <v>0</v>
      </c>
      <c r="BJ31" s="52">
        <f>BB47/1000</f>
        <v>0</v>
      </c>
      <c r="BK31" s="137" t="e">
        <f t="shared" si="2"/>
        <v>#DIV/0!</v>
      </c>
      <c r="BL31" s="52">
        <f t="shared" si="3"/>
        <v>0</v>
      </c>
      <c r="BM31" s="6"/>
      <c r="BN31" s="6"/>
      <c r="BO31" s="6"/>
    </row>
    <row r="32" spans="1:67">
      <c r="A32" s="699"/>
      <c r="B32" s="23"/>
      <c r="C32" s="17" t="s">
        <v>33</v>
      </c>
      <c r="D32" s="57"/>
      <c r="E32" s="2"/>
      <c r="F32" s="2"/>
      <c r="G32" s="63"/>
      <c r="H32" s="2"/>
      <c r="I32" s="20"/>
      <c r="J32" s="21"/>
      <c r="K32" s="21"/>
      <c r="L32" s="22"/>
      <c r="M32" s="2"/>
      <c r="N32" s="23"/>
      <c r="O32" s="19"/>
      <c r="P32" s="19"/>
      <c r="Q32" s="19"/>
      <c r="R32" s="33"/>
      <c r="T32" s="57"/>
      <c r="U32" s="2"/>
      <c r="V32" s="2"/>
      <c r="W32" s="199"/>
      <c r="X32" s="198"/>
      <c r="Y32" s="198"/>
      <c r="Z32" s="198"/>
      <c r="AA32" s="274"/>
      <c r="AB32" s="21"/>
      <c r="AC32" s="21"/>
      <c r="AD32" s="21"/>
      <c r="AE32" s="21"/>
      <c r="AF32" s="70"/>
      <c r="AG32" s="20"/>
      <c r="AH32" s="21"/>
      <c r="AI32" s="21"/>
      <c r="AJ32" s="22"/>
      <c r="AK32" s="29"/>
      <c r="AL32" s="19"/>
      <c r="AM32" s="57"/>
      <c r="AN32" s="2"/>
      <c r="AO32" s="2"/>
      <c r="AP32" s="63"/>
      <c r="AQ32" s="68"/>
      <c r="AR32" s="21"/>
      <c r="AS32" s="21"/>
      <c r="AT32" s="21"/>
      <c r="AU32" s="240"/>
      <c r="AV32" s="19"/>
      <c r="AW32" s="195"/>
      <c r="AX32" s="2"/>
      <c r="AY32" s="238"/>
      <c r="BB32" s="19"/>
      <c r="BC32" s="24"/>
      <c r="BG32" s="142"/>
    </row>
    <row r="33" spans="1:81">
      <c r="A33" s="699"/>
      <c r="B33" s="23"/>
      <c r="C33" s="17" t="s">
        <v>34</v>
      </c>
      <c r="D33" s="57"/>
      <c r="E33" s="2"/>
      <c r="F33" s="2"/>
      <c r="G33" s="63"/>
      <c r="H33" s="2"/>
      <c r="I33" s="20"/>
      <c r="J33" s="21"/>
      <c r="K33" s="21"/>
      <c r="L33" s="22"/>
      <c r="M33" s="2"/>
      <c r="N33" s="23"/>
      <c r="O33" s="19"/>
      <c r="P33" s="19"/>
      <c r="Q33" s="19"/>
      <c r="R33" s="33"/>
      <c r="T33" s="57"/>
      <c r="U33" s="2"/>
      <c r="V33" s="2"/>
      <c r="W33" s="199"/>
      <c r="X33" s="198"/>
      <c r="Y33" s="198"/>
      <c r="Z33" s="198"/>
      <c r="AA33" s="274"/>
      <c r="AB33" s="21"/>
      <c r="AC33" s="21"/>
      <c r="AD33" s="21"/>
      <c r="AE33" s="21"/>
      <c r="AF33" s="70"/>
      <c r="AG33" s="20"/>
      <c r="AH33" s="21"/>
      <c r="AI33" s="21"/>
      <c r="AJ33" s="22"/>
      <c r="AK33" s="29"/>
      <c r="AL33" s="19"/>
      <c r="AM33" s="57"/>
      <c r="AN33" s="2"/>
      <c r="AO33" s="2"/>
      <c r="AP33" s="63"/>
      <c r="AQ33" s="68"/>
      <c r="AR33" s="21"/>
      <c r="AS33" s="21"/>
      <c r="AT33" s="21"/>
      <c r="AU33" s="240"/>
      <c r="AV33" s="19"/>
      <c r="AW33" s="195"/>
      <c r="AX33" s="2"/>
      <c r="AY33" s="238"/>
      <c r="BB33" s="19"/>
      <c r="BC33" s="24"/>
    </row>
    <row r="34" spans="1:81">
      <c r="A34" s="699"/>
      <c r="B34" s="23"/>
      <c r="C34" s="17" t="s">
        <v>35</v>
      </c>
      <c r="D34" s="57"/>
      <c r="E34" s="2"/>
      <c r="F34" s="2"/>
      <c r="G34" s="63"/>
      <c r="H34" s="2"/>
      <c r="I34" s="20"/>
      <c r="J34" s="21"/>
      <c r="K34" s="21"/>
      <c r="L34" s="22"/>
      <c r="M34" s="2"/>
      <c r="N34" s="23"/>
      <c r="O34" s="19"/>
      <c r="P34" s="19"/>
      <c r="Q34" s="19"/>
      <c r="R34" s="33"/>
      <c r="T34" s="57"/>
      <c r="U34" s="2"/>
      <c r="V34" s="2"/>
      <c r="W34" s="199"/>
      <c r="X34" s="198"/>
      <c r="Y34" s="198"/>
      <c r="Z34" s="198"/>
      <c r="AA34" s="274"/>
      <c r="AB34" s="21"/>
      <c r="AC34" s="21"/>
      <c r="AD34" s="21"/>
      <c r="AE34" s="21"/>
      <c r="AF34" s="70"/>
      <c r="AG34" s="20"/>
      <c r="AH34" s="21"/>
      <c r="AI34" s="21"/>
      <c r="AJ34" s="22"/>
      <c r="AK34" s="29"/>
      <c r="AL34" s="19"/>
      <c r="AM34" s="57"/>
      <c r="AN34" s="2"/>
      <c r="AO34" s="2"/>
      <c r="AP34" s="63"/>
      <c r="AQ34" s="68"/>
      <c r="AR34" s="21"/>
      <c r="AS34" s="21"/>
      <c r="AT34" s="21"/>
      <c r="AU34" s="240"/>
      <c r="AV34" s="19"/>
      <c r="AW34" s="195"/>
      <c r="AX34" s="2"/>
      <c r="AY34" s="238"/>
      <c r="BB34" s="19"/>
      <c r="BC34" s="24"/>
    </row>
    <row r="35" spans="1:81">
      <c r="A35" s="699"/>
      <c r="B35" s="23"/>
      <c r="C35" s="17" t="s">
        <v>36</v>
      </c>
      <c r="D35" s="57"/>
      <c r="E35" s="2"/>
      <c r="F35" s="2"/>
      <c r="G35" s="63"/>
      <c r="H35" s="2"/>
      <c r="I35" s="20"/>
      <c r="J35" s="21"/>
      <c r="K35" s="21"/>
      <c r="L35" s="22"/>
      <c r="M35" s="2"/>
      <c r="N35" s="23"/>
      <c r="O35" s="19"/>
      <c r="P35" s="19"/>
      <c r="Q35" s="19"/>
      <c r="R35" s="33"/>
      <c r="T35" s="57"/>
      <c r="U35" s="2"/>
      <c r="V35" s="2"/>
      <c r="W35" s="199"/>
      <c r="X35" s="198"/>
      <c r="Y35" s="198"/>
      <c r="Z35" s="198"/>
      <c r="AA35" s="274"/>
      <c r="AB35" s="21"/>
      <c r="AC35" s="21"/>
      <c r="AD35" s="21"/>
      <c r="AE35" s="21"/>
      <c r="AF35" s="70"/>
      <c r="AG35" s="20"/>
      <c r="AH35" s="21"/>
      <c r="AI35" s="21"/>
      <c r="AJ35" s="22"/>
      <c r="AK35" s="29"/>
      <c r="AL35" s="19"/>
      <c r="AM35" s="57"/>
      <c r="AN35" s="2"/>
      <c r="AO35" s="2"/>
      <c r="AP35" s="63"/>
      <c r="AQ35" s="68"/>
      <c r="AR35" s="21"/>
      <c r="AS35" s="21"/>
      <c r="AT35" s="21"/>
      <c r="AU35" s="240"/>
      <c r="AV35" s="19"/>
      <c r="AW35" s="195"/>
      <c r="AX35" s="2"/>
      <c r="AY35" s="238"/>
      <c r="BB35" s="19"/>
      <c r="BC35" s="24"/>
    </row>
    <row r="36" spans="1:81" s="90" customFormat="1">
      <c r="A36" s="699"/>
      <c r="B36" s="91" t="s">
        <v>43</v>
      </c>
      <c r="C36" s="92"/>
      <c r="D36" s="93"/>
      <c r="E36" s="94"/>
      <c r="F36" s="94"/>
      <c r="G36" s="63"/>
      <c r="H36" s="94"/>
      <c r="I36" s="96"/>
      <c r="J36" s="97"/>
      <c r="K36" s="97"/>
      <c r="L36" s="98"/>
      <c r="M36" s="94"/>
      <c r="N36" s="96"/>
      <c r="O36" s="97"/>
      <c r="P36" s="97"/>
      <c r="Q36" s="97"/>
      <c r="R36" s="99"/>
      <c r="T36" s="93"/>
      <c r="U36" s="94"/>
      <c r="V36" s="94"/>
      <c r="W36" s="211"/>
      <c r="X36" s="289"/>
      <c r="Y36" s="289"/>
      <c r="Z36" s="289"/>
      <c r="AA36" s="280"/>
      <c r="AB36" s="97"/>
      <c r="AC36" s="97"/>
      <c r="AD36" s="97"/>
      <c r="AE36" s="97"/>
      <c r="AF36" s="101"/>
      <c r="AG36" s="96"/>
      <c r="AH36" s="97"/>
      <c r="AI36" s="97"/>
      <c r="AJ36" s="98"/>
      <c r="AK36" s="102"/>
      <c r="AL36" s="103"/>
      <c r="AM36" s="93"/>
      <c r="AN36" s="94"/>
      <c r="AO36" s="94"/>
      <c r="AP36" s="95"/>
      <c r="AQ36" s="100"/>
      <c r="AR36" s="97"/>
      <c r="AS36" s="97"/>
      <c r="AT36" s="97"/>
      <c r="AU36" s="104"/>
      <c r="AV36" s="97"/>
      <c r="AW36" s="98"/>
      <c r="AX36" s="94"/>
      <c r="AY36" s="239"/>
      <c r="BB36" s="97"/>
      <c r="BC36" s="105"/>
      <c r="BG36" s="143"/>
    </row>
    <row r="37" spans="1:81" s="106" customFormat="1">
      <c r="A37" s="699"/>
      <c r="B37" s="107" t="s">
        <v>67</v>
      </c>
      <c r="C37" s="108"/>
      <c r="D37" s="109"/>
      <c r="E37" s="110"/>
      <c r="F37" s="110"/>
      <c r="G37" s="63"/>
      <c r="H37" s="110"/>
      <c r="I37" s="112">
        <f>D50*'[2]Lfill en &amp; composn'!B$137</f>
        <v>22171.41512512388</v>
      </c>
      <c r="J37" s="113">
        <f>E50*SUM('[2]C&amp;I composn'!$E$21:$E$22)</f>
        <v>28764.614854564541</v>
      </c>
      <c r="K37" s="113">
        <f>F50*'[2]Lfill en &amp; composn'!C$137</f>
        <v>1150.5668554681617</v>
      </c>
      <c r="L37" s="114">
        <f>SUM(I37:K37)</f>
        <v>52086.596835156583</v>
      </c>
      <c r="M37" s="110"/>
      <c r="N37" s="112">
        <f t="shared" ref="N37:P38" si="4">I37-AU37</f>
        <v>22171.41512512388</v>
      </c>
      <c r="O37" s="113">
        <f t="shared" si="4"/>
        <v>28764.614854564541</v>
      </c>
      <c r="P37" s="113">
        <f t="shared" si="4"/>
        <v>1150.5668554681617</v>
      </c>
      <c r="Q37" s="114">
        <f>SUM(N37:P37)</f>
        <v>52086.596835156583</v>
      </c>
      <c r="R37" s="115">
        <f>Q37/[2]Popn!$G$43*1000</f>
        <v>102.08879568442639</v>
      </c>
      <c r="T37" s="109"/>
      <c r="U37" s="110"/>
      <c r="V37" s="110"/>
      <c r="W37" s="203"/>
      <c r="X37" s="130"/>
      <c r="Y37" s="130"/>
      <c r="Z37" s="130"/>
      <c r="AA37" s="285">
        <f>[2]PACIA!$C$43</f>
        <v>3557</v>
      </c>
      <c r="AB37" s="113">
        <f>$AA$37*[2]PACIA!D43</f>
        <v>170.73599999999999</v>
      </c>
      <c r="AC37" s="113">
        <f>$AA$37*[2]PACIA!N43</f>
        <v>3386.2639999999997</v>
      </c>
      <c r="AD37" s="113">
        <f>$AA$37*[2]PACIA!O43</f>
        <v>0</v>
      </c>
      <c r="AE37" s="113">
        <f>SUM(AB37:AD37)</f>
        <v>3556.9999999999995</v>
      </c>
      <c r="AF37" s="117"/>
      <c r="AG37" s="112">
        <f t="shared" ref="AG37:AI38" si="5">AB37</f>
        <v>170.73599999999999</v>
      </c>
      <c r="AH37" s="113">
        <f t="shared" si="5"/>
        <v>3386.2639999999997</v>
      </c>
      <c r="AI37" s="113">
        <f t="shared" si="5"/>
        <v>0</v>
      </c>
      <c r="AJ37" s="114">
        <f>SUM(AG37:AI37)</f>
        <v>3556.9999999999995</v>
      </c>
      <c r="AK37" s="118">
        <f>AJ37/[2]Popn!$G$43*1000</f>
        <v>6.9716562093456833</v>
      </c>
      <c r="AL37" s="119"/>
      <c r="AM37" s="109"/>
      <c r="AN37" s="110"/>
      <c r="AO37" s="110"/>
      <c r="AP37" s="111"/>
      <c r="AQ37" s="116"/>
      <c r="AR37" s="113"/>
      <c r="AS37" s="113"/>
      <c r="AT37" s="113"/>
      <c r="AU37" s="120"/>
      <c r="AV37" s="113"/>
      <c r="AW37" s="114"/>
      <c r="AX37" s="110"/>
      <c r="AY37" s="237"/>
      <c r="BB37" s="113"/>
      <c r="BC37" s="118">
        <f>BB37/[2]Popn!$G$43*1000</f>
        <v>0</v>
      </c>
      <c r="BG37" s="144"/>
    </row>
    <row r="38" spans="1:81" s="106" customFormat="1">
      <c r="A38" s="699"/>
      <c r="B38" s="37" t="s">
        <v>8</v>
      </c>
      <c r="C38" s="129" t="s">
        <v>8</v>
      </c>
      <c r="D38" s="109"/>
      <c r="E38" s="110"/>
      <c r="F38" s="110"/>
      <c r="G38" s="63"/>
      <c r="H38" s="110"/>
      <c r="I38" s="112">
        <f>D50*'[2]Lfill en &amp; composn'!B$138</f>
        <v>8283.7545104585915</v>
      </c>
      <c r="J38" s="113">
        <f>E50*SUM('[2]C&amp;I composn'!$E$23:$E$24)</f>
        <v>2113.4348101506616</v>
      </c>
      <c r="K38" s="113">
        <f>F50*'[2]Lfill en &amp; composn'!C$138</f>
        <v>246.53716569182308</v>
      </c>
      <c r="L38" s="114">
        <f>SUM(I38:K38)</f>
        <v>10643.726486301077</v>
      </c>
      <c r="M38" s="110"/>
      <c r="N38" s="112">
        <f t="shared" si="4"/>
        <v>8283.7545104585915</v>
      </c>
      <c r="O38" s="113">
        <f t="shared" si="4"/>
        <v>2113.4348101506616</v>
      </c>
      <c r="P38" s="113">
        <f t="shared" si="4"/>
        <v>246.53716569182308</v>
      </c>
      <c r="Q38" s="114">
        <f>SUM(N38:P38)</f>
        <v>10643.726486301077</v>
      </c>
      <c r="R38" s="115">
        <f>Q38/[2]Popn!$G$43*1000</f>
        <v>20.861513030305886</v>
      </c>
      <c r="T38" s="202">
        <f>[2]TAS!$I$38</f>
        <v>14907</v>
      </c>
      <c r="U38" s="130"/>
      <c r="V38" s="130"/>
      <c r="W38" s="203"/>
      <c r="X38" s="130"/>
      <c r="Y38" s="130"/>
      <c r="Z38" s="130"/>
      <c r="AA38" s="276"/>
      <c r="AB38" s="113">
        <f>T38</f>
        <v>14907</v>
      </c>
      <c r="AC38" s="113">
        <f>($AC$50-$AC$22-$AC$37)*'[2]C&amp;I composn'!D83</f>
        <v>2048.2363172855321</v>
      </c>
      <c r="AD38" s="113"/>
      <c r="AE38" s="113">
        <f>SUM(AB38:AD38)</f>
        <v>16955.236317285533</v>
      </c>
      <c r="AF38" s="117"/>
      <c r="AG38" s="112">
        <f t="shared" si="5"/>
        <v>14907</v>
      </c>
      <c r="AH38" s="113">
        <f t="shared" si="5"/>
        <v>2048.2363172855321</v>
      </c>
      <c r="AI38" s="113">
        <f t="shared" si="5"/>
        <v>0</v>
      </c>
      <c r="AJ38" s="114">
        <f>SUM(AG38:AI38)</f>
        <v>16955.236317285533</v>
      </c>
      <c r="AK38" s="118">
        <f>AJ38/[2]Popn!$G$43*1000</f>
        <v>33.23195910945379</v>
      </c>
      <c r="AL38" s="119"/>
      <c r="AM38" s="109"/>
      <c r="AN38" s="110"/>
      <c r="AO38" s="110"/>
      <c r="AP38" s="111"/>
      <c r="AQ38" s="116"/>
      <c r="AR38" s="113"/>
      <c r="AS38" s="113"/>
      <c r="AT38" s="113"/>
      <c r="AU38" s="120"/>
      <c r="AV38" s="113"/>
      <c r="AW38" s="114"/>
      <c r="AX38" s="110"/>
      <c r="AY38" s="237"/>
      <c r="BB38" s="113"/>
      <c r="BC38" s="121"/>
      <c r="BG38" s="144"/>
    </row>
    <row r="39" spans="1:81">
      <c r="A39" s="699"/>
      <c r="B39" s="23" t="s">
        <v>7</v>
      </c>
      <c r="C39" s="17" t="s">
        <v>9</v>
      </c>
      <c r="D39" s="57"/>
      <c r="E39" s="2"/>
      <c r="F39" s="2"/>
      <c r="G39" s="63"/>
      <c r="H39" s="2"/>
      <c r="I39" s="20"/>
      <c r="J39" s="21">
        <f>E50*'[2]C&amp;I composn'!$E$25</f>
        <v>4306.7096357725204</v>
      </c>
      <c r="K39" s="21"/>
      <c r="L39" s="22"/>
      <c r="M39" s="2"/>
      <c r="N39" s="20"/>
      <c r="O39" s="21"/>
      <c r="P39" s="21"/>
      <c r="Q39" s="22"/>
      <c r="R39" s="34"/>
      <c r="T39" s="57"/>
      <c r="U39" s="2"/>
      <c r="V39" s="2"/>
      <c r="W39" s="199"/>
      <c r="X39" s="198"/>
      <c r="Y39" s="198"/>
      <c r="Z39" s="198"/>
      <c r="AA39" s="274"/>
      <c r="AB39" s="21"/>
      <c r="AC39" s="21">
        <f>($AC$50-$AC$22-$AC$37)*'[2]C&amp;I composn'!D84</f>
        <v>336.34667116776802</v>
      </c>
      <c r="AD39" s="21"/>
      <c r="AE39" s="21"/>
      <c r="AF39" s="70"/>
      <c r="AG39" s="20"/>
      <c r="AH39" s="21"/>
      <c r="AI39" s="21"/>
      <c r="AJ39" s="22"/>
      <c r="AK39" s="29"/>
      <c r="AL39" s="19"/>
      <c r="AM39" s="57"/>
      <c r="AN39" s="2"/>
      <c r="AO39" s="2"/>
      <c r="AP39" s="63"/>
      <c r="AQ39" s="68"/>
      <c r="AR39" s="21"/>
      <c r="AS39" s="35"/>
      <c r="AT39" s="21"/>
      <c r="AU39" s="25"/>
      <c r="AV39" s="21"/>
      <c r="AW39" s="22"/>
      <c r="AX39" s="2"/>
      <c r="AY39" s="238"/>
      <c r="BB39" s="21"/>
      <c r="BC39" s="29"/>
    </row>
    <row r="40" spans="1:81">
      <c r="A40" s="699"/>
      <c r="B40" s="23"/>
      <c r="C40" s="17" t="s">
        <v>10</v>
      </c>
      <c r="D40" s="57"/>
      <c r="E40" s="2"/>
      <c r="F40" s="2"/>
      <c r="G40" s="63"/>
      <c r="H40" s="2"/>
      <c r="I40" s="20"/>
      <c r="J40" s="21">
        <f>E50*'[2]C&amp;I composn'!$E$26</f>
        <v>1591.6664670183272</v>
      </c>
      <c r="K40" s="21"/>
      <c r="L40" s="22"/>
      <c r="M40" s="2"/>
      <c r="N40" s="20"/>
      <c r="O40" s="21"/>
      <c r="P40" s="21"/>
      <c r="Q40" s="22"/>
      <c r="R40" s="33"/>
      <c r="T40" s="57"/>
      <c r="U40" s="2"/>
      <c r="V40" s="2"/>
      <c r="W40" s="199"/>
      <c r="X40" s="198"/>
      <c r="Y40" s="198"/>
      <c r="Z40" s="198"/>
      <c r="AA40" s="274"/>
      <c r="AB40" s="21"/>
      <c r="AC40" s="21">
        <f>($AC$50-$AC$22-$AC$37)*'[2]C&amp;I composn'!D85</f>
        <v>162.91512566450052</v>
      </c>
      <c r="AD40" s="21"/>
      <c r="AE40" s="21"/>
      <c r="AF40" s="70"/>
      <c r="AG40" s="20"/>
      <c r="AH40" s="21"/>
      <c r="AI40" s="21"/>
      <c r="AJ40" s="22"/>
      <c r="AK40" s="29"/>
      <c r="AL40" s="19"/>
      <c r="AM40" s="57"/>
      <c r="AN40" s="2"/>
      <c r="AO40" s="2"/>
      <c r="AP40" s="63"/>
      <c r="AQ40" s="68"/>
      <c r="AR40" s="21"/>
      <c r="AS40" s="21"/>
      <c r="AT40" s="21"/>
      <c r="AU40" s="240"/>
      <c r="AV40" s="21"/>
      <c r="AW40" s="195"/>
      <c r="AX40" s="2"/>
      <c r="AY40" s="238"/>
      <c r="BB40" s="21"/>
      <c r="BC40" s="29"/>
    </row>
    <row r="41" spans="1:81" s="106" customFormat="1" ht="15.75">
      <c r="A41" s="699"/>
      <c r="B41" s="107" t="s">
        <v>67</v>
      </c>
      <c r="C41" s="108"/>
      <c r="D41" s="109"/>
      <c r="E41" s="110"/>
      <c r="F41" s="110"/>
      <c r="G41" s="63"/>
      <c r="H41" s="110"/>
      <c r="I41" s="112">
        <f>D50*'[2]Lfill en &amp; composn'!B$139</f>
        <v>4285.3</v>
      </c>
      <c r="J41" s="113">
        <f>SUM(J39:J40)</f>
        <v>5898.3761027908477</v>
      </c>
      <c r="K41" s="113">
        <f>F50*'[2]Lfill en &amp; composn'!C$139</f>
        <v>0</v>
      </c>
      <c r="L41" s="114">
        <f>SUM(I41:K41)</f>
        <v>10183.676102790847</v>
      </c>
      <c r="M41" s="110"/>
      <c r="N41" s="112">
        <f>I41-AU41</f>
        <v>3805.5468716298747</v>
      </c>
      <c r="O41" s="113">
        <f>J41-AV41</f>
        <v>5238.0339126017134</v>
      </c>
      <c r="P41" s="113">
        <f>K41-AW41</f>
        <v>0</v>
      </c>
      <c r="Q41" s="114">
        <f>SUM(N41:P41)</f>
        <v>9043.580784231588</v>
      </c>
      <c r="R41" s="115">
        <f>Q41/[2]Popn!$G$43*1000</f>
        <v>17.725256151000131</v>
      </c>
      <c r="T41" s="109"/>
      <c r="U41" s="110"/>
      <c r="V41" s="110"/>
      <c r="W41" s="203"/>
      <c r="X41" s="130"/>
      <c r="Y41" s="130"/>
      <c r="Z41" s="130"/>
      <c r="AA41" s="276"/>
      <c r="AB41" s="113"/>
      <c r="AC41" s="113">
        <f>SUM(AC39:AC40)</f>
        <v>499.26179683226854</v>
      </c>
      <c r="AD41" s="113"/>
      <c r="AE41" s="113">
        <f>SUM(AB41:AD41)</f>
        <v>499.26179683226854</v>
      </c>
      <c r="AF41" s="117"/>
      <c r="AG41" s="112">
        <f>AB41</f>
        <v>0</v>
      </c>
      <c r="AH41" s="113">
        <f>AC41</f>
        <v>499.26179683226854</v>
      </c>
      <c r="AI41" s="113">
        <f>AD41</f>
        <v>0</v>
      </c>
      <c r="AJ41" s="114">
        <f>SUM(AG41:AI41)</f>
        <v>499.26179683226854</v>
      </c>
      <c r="AK41" s="118">
        <f>AJ41/[2]Popn!$G$43*1000</f>
        <v>0.97854416811210798</v>
      </c>
      <c r="AL41" s="119"/>
      <c r="AM41" s="109"/>
      <c r="AN41" s="110"/>
      <c r="AO41" s="110"/>
      <c r="AP41" s="111"/>
      <c r="AQ41" s="116"/>
      <c r="AR41" s="113">
        <f>L41*'[2]Lfill en &amp; composn'!$D$25</f>
        <v>1603.9289861895584</v>
      </c>
      <c r="AS41" s="113">
        <f>AR41/SUM($AR$7:$AR$49)</f>
        <v>3.955119817482388E-2</v>
      </c>
      <c r="AT41" s="113">
        <f>AS41*'[2]Lfill en &amp; composn'!$G$64/'[2]Lfill en &amp; composn'!$B$25</f>
        <v>1140.0953185592598</v>
      </c>
      <c r="AU41" s="120">
        <f>$AT41*I41/SUM($I41:$K41)</f>
        <v>479.75312837012547</v>
      </c>
      <c r="AV41" s="113">
        <f>$AT41*J41/SUM($I41:$K41)</f>
        <v>660.34219018913439</v>
      </c>
      <c r="AW41" s="114">
        <f>$AT41*K41/SUM($I41:$K41)</f>
        <v>0</v>
      </c>
      <c r="AX41" s="110"/>
      <c r="AY41" s="241">
        <f>AU41</f>
        <v>479.75312837012547</v>
      </c>
      <c r="AZ41" s="242">
        <f>AV41</f>
        <v>660.34219018913439</v>
      </c>
      <c r="BA41" s="242">
        <f>AW41</f>
        <v>0</v>
      </c>
      <c r="BB41" s="114">
        <f>AT41+AP41</f>
        <v>1140.0953185592598</v>
      </c>
      <c r="BC41" s="118">
        <f>BB41/[2]Popn!$G$43*1000</f>
        <v>2.2345663780937897</v>
      </c>
      <c r="BD41" s="122"/>
      <c r="BG41" s="144"/>
      <c r="BR41" s="336" t="s">
        <v>106</v>
      </c>
      <c r="BS41" s="315"/>
      <c r="BT41" s="316" t="s">
        <v>109</v>
      </c>
      <c r="BU41" s="316"/>
      <c r="BV41" s="314"/>
      <c r="BW41" s="310" t="s">
        <v>107</v>
      </c>
      <c r="BX41" s="314"/>
      <c r="BY41" s="314"/>
      <c r="BZ41" s="314"/>
      <c r="CA41" s="314"/>
      <c r="CB41" s="314"/>
      <c r="CC41" s="314"/>
    </row>
    <row r="42" spans="1:81" ht="38.25">
      <c r="A42" s="699"/>
      <c r="B42" s="23" t="s">
        <v>11</v>
      </c>
      <c r="C42" s="17" t="s">
        <v>12</v>
      </c>
      <c r="D42" s="57"/>
      <c r="E42" s="2"/>
      <c r="F42" s="2"/>
      <c r="G42" s="63"/>
      <c r="H42" s="2"/>
      <c r="I42" s="20"/>
      <c r="J42" s="21"/>
      <c r="K42" s="21"/>
      <c r="L42" s="22"/>
      <c r="M42" s="2"/>
      <c r="N42" s="20"/>
      <c r="O42" s="21"/>
      <c r="P42" s="21"/>
      <c r="Q42" s="22"/>
      <c r="R42" s="33"/>
      <c r="T42" s="57"/>
      <c r="U42" s="2"/>
      <c r="V42" s="2"/>
      <c r="W42" s="199"/>
      <c r="X42" s="198"/>
      <c r="Y42" s="198"/>
      <c r="Z42" s="198"/>
      <c r="AA42" s="274"/>
      <c r="AB42" s="21"/>
      <c r="AC42" s="21"/>
      <c r="AD42" s="21"/>
      <c r="AE42" s="21"/>
      <c r="AF42" s="70"/>
      <c r="AG42" s="20"/>
      <c r="AH42" s="21"/>
      <c r="AI42" s="21"/>
      <c r="AJ42" s="22"/>
      <c r="AK42" s="29"/>
      <c r="AL42" s="19"/>
      <c r="AM42" s="57"/>
      <c r="AN42" s="2"/>
      <c r="AO42" s="2"/>
      <c r="AP42" s="63"/>
      <c r="AQ42" s="68"/>
      <c r="AR42" s="21"/>
      <c r="AS42" s="21"/>
      <c r="AT42" s="21"/>
      <c r="AU42" s="25"/>
      <c r="AV42" s="21"/>
      <c r="AW42" s="22"/>
      <c r="AX42" s="2"/>
      <c r="AY42" s="23"/>
      <c r="AZ42" s="19"/>
      <c r="BA42" s="19"/>
      <c r="BB42" s="19"/>
      <c r="BC42" s="24"/>
      <c r="BR42" s="317"/>
      <c r="BS42" s="317"/>
      <c r="BT42" s="317"/>
      <c r="BU42" s="317"/>
      <c r="BV42" s="318" t="s">
        <v>100</v>
      </c>
      <c r="BW42" s="311" t="s">
        <v>104</v>
      </c>
      <c r="BX42" s="318" t="s">
        <v>101</v>
      </c>
      <c r="BY42" s="319" t="s">
        <v>102</v>
      </c>
      <c r="BZ42" s="318" t="s">
        <v>103</v>
      </c>
      <c r="CA42" s="574" t="s">
        <v>192</v>
      </c>
      <c r="CB42" s="574" t="s">
        <v>258</v>
      </c>
      <c r="CC42" s="317"/>
    </row>
    <row r="43" spans="1:81">
      <c r="A43" s="699"/>
      <c r="B43" s="23"/>
      <c r="C43" s="17" t="s">
        <v>13</v>
      </c>
      <c r="D43" s="57"/>
      <c r="E43" s="2"/>
      <c r="F43" s="2"/>
      <c r="G43" s="199"/>
      <c r="H43" s="3"/>
      <c r="I43" s="20"/>
      <c r="J43" s="21"/>
      <c r="K43" s="21"/>
      <c r="L43" s="22"/>
      <c r="M43" s="83"/>
      <c r="N43" s="20"/>
      <c r="O43" s="21"/>
      <c r="P43" s="21"/>
      <c r="Q43" s="22"/>
      <c r="R43" s="34"/>
      <c r="T43" s="57"/>
      <c r="U43" s="2"/>
      <c r="V43" s="198"/>
      <c r="W43" s="199"/>
      <c r="X43" s="198"/>
      <c r="Y43" s="198"/>
      <c r="Z43" s="198"/>
      <c r="AA43" s="282"/>
      <c r="AB43" s="21"/>
      <c r="AC43" s="21"/>
      <c r="AD43" s="21"/>
      <c r="AE43" s="21"/>
      <c r="AF43" s="70"/>
      <c r="AG43" s="20"/>
      <c r="AH43" s="21"/>
      <c r="AI43" s="21"/>
      <c r="AJ43" s="22"/>
      <c r="AK43" s="29"/>
      <c r="AL43" s="19"/>
      <c r="AM43" s="57"/>
      <c r="AN43" s="2"/>
      <c r="AO43" s="2"/>
      <c r="AP43" s="64"/>
      <c r="AQ43" s="69"/>
      <c r="AR43" s="21"/>
      <c r="AS43" s="21"/>
      <c r="AT43" s="21"/>
      <c r="AU43" s="25"/>
      <c r="AV43" s="21"/>
      <c r="AW43" s="22"/>
      <c r="AX43" s="2"/>
      <c r="AY43" s="20"/>
      <c r="AZ43" s="21"/>
      <c r="BA43" s="21"/>
      <c r="BB43" s="21"/>
      <c r="BC43" s="24"/>
      <c r="BR43" s="317"/>
      <c r="BS43" s="317"/>
      <c r="BT43" s="317"/>
      <c r="BU43" s="320" t="s">
        <v>72</v>
      </c>
      <c r="BV43" s="321">
        <f>BL151</f>
        <v>0.83423658776161869</v>
      </c>
      <c r="BW43" s="307">
        <f>AVERAGE(BV43,BX43)</f>
        <v>0.75871174846344691</v>
      </c>
      <c r="BX43" s="322">
        <f>BL104</f>
        <v>0.68318690916527514</v>
      </c>
      <c r="BY43" s="322">
        <f>BL57</f>
        <v>0.68656822181047639</v>
      </c>
      <c r="BZ43" s="322">
        <f>BL10</f>
        <v>0.79518448021174115</v>
      </c>
      <c r="CA43" s="553">
        <f>(BZ43-BV43)/BV43</f>
        <v>-4.681178951244535E-2</v>
      </c>
      <c r="CB43" s="594">
        <f>(BZ43/BV43)^(1/4)-1</f>
        <v>-1.1914182853517419E-2</v>
      </c>
      <c r="CC43" s="317"/>
    </row>
    <row r="44" spans="1:81">
      <c r="A44" s="699"/>
      <c r="B44" s="23"/>
      <c r="C44" s="17" t="s">
        <v>14</v>
      </c>
      <c r="D44" s="57"/>
      <c r="E44" s="2"/>
      <c r="F44" s="2"/>
      <c r="G44" s="199"/>
      <c r="H44" s="3"/>
      <c r="I44" s="20"/>
      <c r="J44" s="21"/>
      <c r="K44" s="21"/>
      <c r="L44" s="22"/>
      <c r="M44" s="83"/>
      <c r="N44" s="20"/>
      <c r="O44" s="21"/>
      <c r="P44" s="21"/>
      <c r="Q44" s="22"/>
      <c r="R44" s="34"/>
      <c r="T44" s="57"/>
      <c r="U44" s="2"/>
      <c r="V44" s="2"/>
      <c r="W44" s="199"/>
      <c r="X44" s="198"/>
      <c r="Y44" s="198"/>
      <c r="Z44" s="198"/>
      <c r="AA44" s="282"/>
      <c r="AB44" s="21"/>
      <c r="AC44" s="21"/>
      <c r="AD44" s="21"/>
      <c r="AE44" s="21"/>
      <c r="AF44" s="70"/>
      <c r="AG44" s="20"/>
      <c r="AH44" s="21"/>
      <c r="AI44" s="21"/>
      <c r="AJ44" s="22"/>
      <c r="AK44" s="29"/>
      <c r="AL44" s="19"/>
      <c r="AM44" s="57"/>
      <c r="AN44" s="2"/>
      <c r="AO44" s="2"/>
      <c r="AP44" s="64"/>
      <c r="AQ44" s="69"/>
      <c r="AR44" s="21"/>
      <c r="AS44" s="21"/>
      <c r="AT44" s="21"/>
      <c r="AU44" s="25"/>
      <c r="AV44" s="21"/>
      <c r="AW44" s="22"/>
      <c r="AX44" s="2"/>
      <c r="AY44" s="23"/>
      <c r="AZ44" s="19"/>
      <c r="BA44" s="19"/>
      <c r="BB44" s="21"/>
      <c r="BC44" s="24"/>
      <c r="BR44" s="317"/>
      <c r="BS44" s="317"/>
      <c r="BT44" s="317"/>
      <c r="BU44" s="323" t="s">
        <v>68</v>
      </c>
      <c r="BV44" s="335">
        <f>BL152</f>
        <v>0.16296180035372052</v>
      </c>
      <c r="BW44" s="308">
        <f>AVERAGE(BV44,BX44)</f>
        <v>0.19346942059996719</v>
      </c>
      <c r="BX44" s="324">
        <f>BL105</f>
        <v>0.22397704084621389</v>
      </c>
      <c r="BY44" s="324">
        <f>BL58</f>
        <v>0.27060205806014365</v>
      </c>
      <c r="BZ44" s="324">
        <f>BL11</f>
        <v>0.30747414661155842</v>
      </c>
      <c r="CA44" s="328">
        <f t="shared" ref="CA44:CA47" si="6">(BZ44-BV44)/BV44</f>
        <v>0.88678663308924721</v>
      </c>
      <c r="CB44" s="593">
        <f t="shared" ref="CB44:CB47" si="7">(BZ44/BV44)^(1/4)-1</f>
        <v>0.17200832807091326</v>
      </c>
      <c r="CC44" s="317"/>
    </row>
    <row r="45" spans="1:81">
      <c r="A45" s="699"/>
      <c r="B45" s="23"/>
      <c r="C45" s="17" t="s">
        <v>15</v>
      </c>
      <c r="D45" s="57"/>
      <c r="E45" s="2"/>
      <c r="F45" s="2"/>
      <c r="G45" s="199"/>
      <c r="H45" s="3"/>
      <c r="I45" s="20"/>
      <c r="J45" s="21"/>
      <c r="K45" s="21"/>
      <c r="L45" s="22"/>
      <c r="M45" s="83"/>
      <c r="N45" s="20"/>
      <c r="O45" s="21"/>
      <c r="P45" s="21"/>
      <c r="Q45" s="22"/>
      <c r="R45" s="34"/>
      <c r="T45" s="57"/>
      <c r="U45" s="2"/>
      <c r="V45" s="2"/>
      <c r="W45" s="199"/>
      <c r="X45" s="198"/>
      <c r="Y45" s="198"/>
      <c r="Z45" s="198"/>
      <c r="AA45" s="282"/>
      <c r="AB45" s="21"/>
      <c r="AC45" s="21"/>
      <c r="AD45" s="21"/>
      <c r="AE45" s="21"/>
      <c r="AF45" s="70"/>
      <c r="AG45" s="20"/>
      <c r="AH45" s="21"/>
      <c r="AI45" s="21"/>
      <c r="AJ45" s="22"/>
      <c r="AK45" s="29"/>
      <c r="AL45" s="19"/>
      <c r="AM45" s="57"/>
      <c r="AN45" s="2"/>
      <c r="AO45" s="2"/>
      <c r="AP45" s="64"/>
      <c r="AQ45" s="69"/>
      <c r="AR45" s="21"/>
      <c r="AS45" s="21"/>
      <c r="AT45" s="21"/>
      <c r="AU45" s="25"/>
      <c r="AV45" s="21"/>
      <c r="AW45" s="22"/>
      <c r="AX45" s="2"/>
      <c r="AY45" s="23"/>
      <c r="AZ45" s="19"/>
      <c r="BA45" s="19"/>
      <c r="BB45" s="21"/>
      <c r="BC45" s="24"/>
      <c r="BR45" s="317"/>
      <c r="BS45" s="317"/>
      <c r="BT45" s="317"/>
      <c r="BU45" s="323" t="s">
        <v>69</v>
      </c>
      <c r="BV45" s="335">
        <f>BL153</f>
        <v>7.4047920563116459E-2</v>
      </c>
      <c r="BW45" s="308">
        <f>AVERAGE(BV45,BX45)</f>
        <v>8.8403591986033064E-2</v>
      </c>
      <c r="BX45" s="324">
        <f>BL106</f>
        <v>0.10275926340894967</v>
      </c>
      <c r="BY45" s="324">
        <f>BL59</f>
        <v>7.8859102517621474E-2</v>
      </c>
      <c r="BZ45" s="324">
        <f>BL12</f>
        <v>7.8089710757513614E-2</v>
      </c>
      <c r="CA45" s="328">
        <f t="shared" si="6"/>
        <v>5.458343953024368E-2</v>
      </c>
      <c r="CB45" s="593">
        <f t="shared" si="7"/>
        <v>1.3375118465189795E-2</v>
      </c>
      <c r="CC45" s="317"/>
    </row>
    <row r="46" spans="1:81" s="106" customFormat="1">
      <c r="A46" s="699"/>
      <c r="B46" s="107" t="s">
        <v>67</v>
      </c>
      <c r="C46" s="108"/>
      <c r="D46" s="109"/>
      <c r="E46" s="110"/>
      <c r="F46" s="110"/>
      <c r="G46" s="63"/>
      <c r="H46" s="125"/>
      <c r="I46" s="112">
        <f>D50*'[2]Lfill en &amp; composn'!B$140</f>
        <v>2975.3439342153761</v>
      </c>
      <c r="J46" s="113">
        <f>E50*'[2]C&amp;I composn'!$E$28</f>
        <v>22495.551679880191</v>
      </c>
      <c r="K46" s="113">
        <f>F50*'[2]Lfill en &amp; composn'!C$140</f>
        <v>10154.515231558726</v>
      </c>
      <c r="L46" s="114">
        <f>SUM(I46:K46)</f>
        <v>35625.410845654289</v>
      </c>
      <c r="M46" s="110"/>
      <c r="N46" s="112">
        <f>I46-AU46</f>
        <v>2975.3439342153761</v>
      </c>
      <c r="O46" s="113">
        <f>J46-AV46</f>
        <v>22495.551679880191</v>
      </c>
      <c r="P46" s="113">
        <f>K46-AW46</f>
        <v>10154.515231558726</v>
      </c>
      <c r="Q46" s="114">
        <f>SUM(N46:P46)</f>
        <v>35625.410845654289</v>
      </c>
      <c r="R46" s="115">
        <f>Q46/[2]Popn!$G$43*1000</f>
        <v>69.825166357210236</v>
      </c>
      <c r="T46" s="109"/>
      <c r="U46" s="110"/>
      <c r="V46" s="110"/>
      <c r="W46" s="203"/>
      <c r="X46" s="130"/>
      <c r="Y46" s="130"/>
      <c r="Z46" s="130"/>
      <c r="AA46" s="284"/>
      <c r="AB46" s="113"/>
      <c r="AC46" s="113"/>
      <c r="AD46" s="113"/>
      <c r="AE46" s="113">
        <f>SUM(AB46:AD46)</f>
        <v>0</v>
      </c>
      <c r="AF46" s="117"/>
      <c r="AG46" s="112">
        <f>AB46</f>
        <v>0</v>
      </c>
      <c r="AH46" s="113">
        <f>AC46</f>
        <v>0</v>
      </c>
      <c r="AI46" s="113">
        <f>AD46</f>
        <v>0</v>
      </c>
      <c r="AJ46" s="114">
        <f>SUM(AG46:AI46)</f>
        <v>0</v>
      </c>
      <c r="AK46" s="118">
        <f>AJ46/[2]Popn!$G$43*1000</f>
        <v>0</v>
      </c>
      <c r="AL46" s="119"/>
      <c r="AM46" s="109"/>
      <c r="AN46" s="110"/>
      <c r="AO46" s="110"/>
      <c r="AP46" s="124"/>
      <c r="AQ46" s="126"/>
      <c r="AR46" s="113"/>
      <c r="AS46" s="113"/>
      <c r="AT46" s="113"/>
      <c r="AU46" s="120"/>
      <c r="AV46" s="113"/>
      <c r="AW46" s="114"/>
      <c r="AX46" s="110"/>
      <c r="AY46" s="127"/>
      <c r="AZ46" s="119"/>
      <c r="BA46" s="119"/>
      <c r="BB46" s="113"/>
      <c r="BC46" s="121"/>
      <c r="BG46" s="144"/>
      <c r="BR46" s="314"/>
      <c r="BS46" s="314"/>
      <c r="BT46" s="314"/>
      <c r="BU46" s="576" t="s">
        <v>240</v>
      </c>
      <c r="BV46" s="630">
        <f>SUM(BV44:BV45)/BV47</f>
        <v>0.22124670955386938</v>
      </c>
      <c r="BW46" s="631">
        <f t="shared" ref="BW46:BZ46" si="8">SUM(BW44:BW45)/BW47</f>
        <v>0.27087943542602588</v>
      </c>
      <c r="BX46" s="328">
        <f t="shared" si="8"/>
        <v>0.32352588782325647</v>
      </c>
      <c r="BY46" s="328">
        <f t="shared" si="8"/>
        <v>0.3373081560410881</v>
      </c>
      <c r="BZ46" s="328">
        <f t="shared" si="8"/>
        <v>0.32654194386505597</v>
      </c>
      <c r="CA46" s="328">
        <f t="shared" si="6"/>
        <v>0.47591774143673399</v>
      </c>
      <c r="CB46" s="593">
        <f t="shared" si="7"/>
        <v>0.10221302367857898</v>
      </c>
      <c r="CC46" s="314"/>
    </row>
    <row r="47" spans="1:81" s="106" customFormat="1" ht="13.5" thickBot="1">
      <c r="A47" s="699"/>
      <c r="B47" s="131" t="s">
        <v>37</v>
      </c>
      <c r="C47" s="132" t="s">
        <v>1</v>
      </c>
      <c r="D47" s="109"/>
      <c r="E47" s="110"/>
      <c r="F47" s="110"/>
      <c r="G47" s="203"/>
      <c r="H47" s="130">
        <f>'[2]Fly ash'!$D$264</f>
        <v>0</v>
      </c>
      <c r="I47" s="112"/>
      <c r="J47" s="113"/>
      <c r="K47" s="113"/>
      <c r="L47" s="114"/>
      <c r="M47" s="110"/>
      <c r="N47" s="127"/>
      <c r="O47" s="119"/>
      <c r="P47" s="119"/>
      <c r="Q47" s="113">
        <f>H47</f>
        <v>0</v>
      </c>
      <c r="R47" s="115">
        <f>Q47/[2]Popn!$G$43*1000</f>
        <v>0</v>
      </c>
      <c r="T47" s="109"/>
      <c r="U47" s="110"/>
      <c r="V47" s="110"/>
      <c r="W47" s="203"/>
      <c r="X47" s="130"/>
      <c r="Y47" s="130"/>
      <c r="Z47" s="130"/>
      <c r="AA47" s="285">
        <f>'[2]Fly ash'!$D$256</f>
        <v>0</v>
      </c>
      <c r="AB47" s="113"/>
      <c r="AC47" s="113"/>
      <c r="AD47" s="113"/>
      <c r="AE47" s="113"/>
      <c r="AF47" s="117"/>
      <c r="AG47" s="112"/>
      <c r="AH47" s="113"/>
      <c r="AI47" s="113"/>
      <c r="AJ47" s="114">
        <f>W47</f>
        <v>0</v>
      </c>
      <c r="AK47" s="118">
        <f>AJ47/[2]Popn!$G$43*1000</f>
        <v>0</v>
      </c>
      <c r="AL47" s="119"/>
      <c r="AM47" s="109"/>
      <c r="AN47" s="110"/>
      <c r="AO47" s="110"/>
      <c r="AP47" s="111"/>
      <c r="AQ47" s="117"/>
      <c r="AR47" s="113"/>
      <c r="AS47" s="113"/>
      <c r="AT47" s="113"/>
      <c r="AU47" s="120"/>
      <c r="AV47" s="113"/>
      <c r="AW47" s="114"/>
      <c r="AX47" s="110"/>
      <c r="AY47" s="127"/>
      <c r="AZ47" s="119"/>
      <c r="BA47" s="119"/>
      <c r="BB47" s="119"/>
      <c r="BC47" s="121"/>
      <c r="BG47" s="144"/>
      <c r="BR47" s="314"/>
      <c r="BS47" s="314"/>
      <c r="BT47" s="314"/>
      <c r="BU47" s="576" t="s">
        <v>191</v>
      </c>
      <c r="BV47" s="577">
        <f>SUM(BV43:BV45)</f>
        <v>1.0712463086784556</v>
      </c>
      <c r="BW47" s="578">
        <f>SUM(BW43:BW45)</f>
        <v>1.0405847610494472</v>
      </c>
      <c r="BX47" s="579">
        <f>SUM(BX43:BX45)</f>
        <v>1.0099232134204386</v>
      </c>
      <c r="BY47" s="579">
        <f>SUM(BY43:BY45)</f>
        <v>1.0360293823882416</v>
      </c>
      <c r="BZ47" s="579">
        <f>SUM(BZ43:BZ45)</f>
        <v>1.1807483375808132</v>
      </c>
      <c r="CA47" s="580">
        <f t="shared" si="6"/>
        <v>0.10221928235855013</v>
      </c>
      <c r="CB47" s="652">
        <f t="shared" si="7"/>
        <v>2.4629843613048763E-2</v>
      </c>
      <c r="CC47" s="314"/>
    </row>
    <row r="48" spans="1:81" ht="13.5" thickBot="1">
      <c r="B48" s="19"/>
      <c r="C48" s="38"/>
      <c r="D48" s="57"/>
      <c r="E48" s="2"/>
      <c r="F48" s="2"/>
      <c r="G48" s="63"/>
      <c r="H48" s="2"/>
      <c r="I48" s="20"/>
      <c r="J48" s="21"/>
      <c r="K48" s="21"/>
      <c r="L48" s="22"/>
      <c r="M48" s="2"/>
      <c r="N48" s="23"/>
      <c r="O48" s="19"/>
      <c r="P48" s="19"/>
      <c r="Q48" s="19"/>
      <c r="R48" s="24"/>
      <c r="T48" s="57"/>
      <c r="U48" s="2"/>
      <c r="V48" s="2"/>
      <c r="W48" s="63"/>
      <c r="X48" s="2"/>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19"/>
      <c r="BC48" s="24"/>
      <c r="BR48" s="317"/>
      <c r="BS48" s="317"/>
      <c r="BT48" s="317"/>
      <c r="BU48" s="314"/>
      <c r="BV48" s="314"/>
      <c r="BW48" s="314"/>
      <c r="BX48" s="314"/>
      <c r="BY48" s="314"/>
      <c r="BZ48" s="314"/>
      <c r="CA48" s="314"/>
      <c r="CB48" s="653"/>
      <c r="CC48" s="317"/>
    </row>
    <row r="49" spans="1:81" ht="13.5" thickBot="1">
      <c r="C49" s="39" t="s">
        <v>38</v>
      </c>
      <c r="D49" s="58"/>
      <c r="E49" s="59"/>
      <c r="F49" s="2"/>
      <c r="G49" s="208"/>
      <c r="H49" s="2"/>
      <c r="I49" s="20"/>
      <c r="J49" s="21"/>
      <c r="K49" s="21"/>
      <c r="L49" s="22"/>
      <c r="M49" s="2"/>
      <c r="N49" s="23"/>
      <c r="O49" s="19"/>
      <c r="P49" s="19"/>
      <c r="Q49" s="19"/>
      <c r="R49" s="24"/>
      <c r="T49" s="58"/>
      <c r="U49" s="59"/>
      <c r="V49" s="2"/>
      <c r="W49" s="208"/>
      <c r="X49" s="198"/>
      <c r="Y49" s="198"/>
      <c r="Z49" s="198"/>
      <c r="AA49" s="274"/>
      <c r="AB49" s="21"/>
      <c r="AC49" s="21"/>
      <c r="AD49" s="21"/>
      <c r="AE49" s="21"/>
      <c r="AF49" s="70"/>
      <c r="AG49" s="20"/>
      <c r="AH49" s="21"/>
      <c r="AI49" s="21"/>
      <c r="AJ49" s="22"/>
      <c r="AK49" s="40"/>
      <c r="AL49" s="19"/>
      <c r="AM49" s="58"/>
      <c r="AN49" s="59"/>
      <c r="AO49" s="2"/>
      <c r="AP49" s="65"/>
      <c r="AQ49" s="68"/>
      <c r="AR49" s="21"/>
      <c r="AS49" s="21"/>
      <c r="AT49" s="21"/>
      <c r="AU49" s="25"/>
      <c r="AV49" s="21"/>
      <c r="AW49" s="22"/>
      <c r="AX49" s="2"/>
      <c r="AY49" s="23"/>
      <c r="AZ49" s="19"/>
      <c r="BA49" s="19"/>
      <c r="BB49" s="19"/>
      <c r="BC49" s="24"/>
      <c r="BR49" s="317"/>
      <c r="BS49" s="317"/>
      <c r="BT49" s="317"/>
      <c r="BU49" s="317"/>
      <c r="BV49" s="317"/>
      <c r="BW49" s="317"/>
      <c r="BX49" s="317"/>
      <c r="BY49" s="317"/>
      <c r="BZ49" s="317"/>
      <c r="CA49" s="317"/>
      <c r="CB49" s="654"/>
      <c r="CC49" s="317"/>
    </row>
    <row r="50" spans="1:81" ht="13.5" thickBot="1">
      <c r="C50" s="135" t="s">
        <v>92</v>
      </c>
      <c r="D50" s="134">
        <f>[2]TAS!E$32</f>
        <v>171412</v>
      </c>
      <c r="E50" s="134">
        <f>[2]TAS!F$32</f>
        <v>235356</v>
      </c>
      <c r="F50" s="134">
        <f>[2]TAS!G$32</f>
        <v>38785</v>
      </c>
      <c r="G50" s="66">
        <f>SUM(D50:F50)</f>
        <v>445553</v>
      </c>
      <c r="H50" s="231"/>
      <c r="I50" s="41">
        <f>SUM(I7:I49)</f>
        <v>171411.99999999997</v>
      </c>
      <c r="J50" s="218">
        <f>SUM(J46,J41,J38,J37,J27,J22,J16,J12)</f>
        <v>235356</v>
      </c>
      <c r="K50" s="218">
        <f>SUM(K7:K49)</f>
        <v>38784.133381684776</v>
      </c>
      <c r="L50" s="42">
        <f>SUM(L46,L41,L38,L37,L27,L22,L16,L12)</f>
        <v>445552.13338168466</v>
      </c>
      <c r="M50" s="43"/>
      <c r="N50" s="44">
        <f>SUM(N46,N41,N38,N37,N27,N22,N16,N12,N49)</f>
        <v>154141.75310174032</v>
      </c>
      <c r="O50" s="45">
        <f>SUM(O46,O41,O38,O37,O27,O22,O16,O12,O49)</f>
        <v>213371.456364012</v>
      </c>
      <c r="P50" s="45">
        <f>SUM(P46,P41,P38,P37,P27,P22,P16,P12,P49)</f>
        <v>38196.870202479855</v>
      </c>
      <c r="Q50" s="133">
        <f>SUM(Q46,Q41,Q38,Q37,Q27,Q22,Q16,Q12,Q49)</f>
        <v>405710.07966823212</v>
      </c>
      <c r="R50" s="27">
        <f>SUM(R46,R41,R38,R37,R27,R22,R16,R12)</f>
        <v>795.18448021174117</v>
      </c>
      <c r="T50" s="60"/>
      <c r="U50" s="134"/>
      <c r="V50" s="134"/>
      <c r="W50" s="66">
        <f>SUM([2]TAS!$F$18:$G$18)</f>
        <v>156876</v>
      </c>
      <c r="X50" s="362"/>
      <c r="Y50" s="362"/>
      <c r="Z50" s="362"/>
      <c r="AA50" s="287"/>
      <c r="AB50" s="45">
        <f>SUM(AB46,AB41,AB38,AB37,AB27,AB22,AB16,AB12)</f>
        <v>86334.668315888266</v>
      </c>
      <c r="AC50" s="45">
        <f>W50-AB50</f>
        <v>70541.331684111734</v>
      </c>
      <c r="AD50" s="45">
        <v>0</v>
      </c>
      <c r="AE50" s="45"/>
      <c r="AF50" s="555"/>
      <c r="AG50" s="45">
        <f>SUM(AG46,AG41,AG38,AG37,AG27,AG22,AG16,AG12)</f>
        <v>86334.668315888266</v>
      </c>
      <c r="AH50" s="45">
        <f>SUM(AH46,AH41,AH38,AH37,AH27,AH22,AH16,AH12)</f>
        <v>70541.331684111705</v>
      </c>
      <c r="AI50" s="45">
        <f>SUM(AI46,AI41,AI38,AI37,AI27,AI22,AI16,AI12)</f>
        <v>0</v>
      </c>
      <c r="AJ50" s="354">
        <f>SUM(AJ46,AJ41,AJ38,AJ37,AJ27,AJ22,AJ16,AJ12,AJ49)</f>
        <v>156875.99999999997</v>
      </c>
      <c r="AK50" s="27">
        <f>SUM(AK46,AK41,AK38,AK37,AK27,AK22,AK16,AK12,AK49)</f>
        <v>307.47414661155841</v>
      </c>
      <c r="AL50" s="19"/>
      <c r="AM50" s="60"/>
      <c r="AN50" s="706"/>
      <c r="AO50" s="707"/>
      <c r="AP50" s="66"/>
      <c r="AQ50" s="71"/>
      <c r="AR50" s="45">
        <f>SUM(AR7:AR49)</f>
        <v>40553.233788263118</v>
      </c>
      <c r="AS50" s="46">
        <f>SUM(AS7:AS49)</f>
        <v>0.99999999999999989</v>
      </c>
      <c r="AT50" s="45">
        <f>SUM(AT7:AT49)</f>
        <v>69513.776116213441</v>
      </c>
      <c r="AU50" s="47"/>
      <c r="AV50" s="45"/>
      <c r="AW50" s="214"/>
      <c r="AX50" s="43"/>
      <c r="AY50" s="44">
        <f>SUM(AY46,AY41,AY38,AY37,AY27,AY22,AY16,AY12)</f>
        <v>17270.246898259687</v>
      </c>
      <c r="AZ50" s="45">
        <f>SUM(AZ46,AZ41,AZ38,AZ37,AZ27,AZ22,AZ16,AZ12)</f>
        <v>21984.543635987971</v>
      </c>
      <c r="BA50" s="45">
        <f>SUM(BA46,BA41,BA38,BA37,BA27,BA22,BA16,BA12)</f>
        <v>587.26317920492215</v>
      </c>
      <c r="BB50" s="354">
        <f>SUM(BB46,BB41,BB38,BB37,BB27,BB22,BB16,BB12,BB49)</f>
        <v>39842.05371345258</v>
      </c>
      <c r="BC50" s="27">
        <f>SUM(BC46,BC41,BC38,BC37,BC27,BC22,BC16,BC12,BC49)</f>
        <v>78.089710757513615</v>
      </c>
      <c r="BR50" s="317"/>
      <c r="BS50" s="317"/>
      <c r="BT50" s="317"/>
      <c r="BU50" s="317"/>
      <c r="BV50" s="317"/>
      <c r="BW50" s="317"/>
      <c r="BX50" s="317"/>
      <c r="BY50" s="317"/>
      <c r="BZ50" s="317"/>
      <c r="CA50" s="317"/>
      <c r="CB50" s="654"/>
      <c r="CC50" s="317"/>
    </row>
    <row r="51" spans="1:81" ht="13.5" thickBot="1">
      <c r="C51" s="136" t="s">
        <v>65</v>
      </c>
      <c r="Q51" s="49">
        <f>Q50+Q47</f>
        <v>405710.07966823212</v>
      </c>
      <c r="R51" s="216">
        <f>R50+R47</f>
        <v>795.18448021174117</v>
      </c>
      <c r="AJ51" s="353">
        <f>AJ50+AJ47</f>
        <v>156875.99999999997</v>
      </c>
      <c r="AK51" s="216">
        <f>AK50+AK47</f>
        <v>307.47414661155841</v>
      </c>
      <c r="AW51" s="152"/>
      <c r="BB51" s="353">
        <f>BB50+BB47</f>
        <v>39842.05371345258</v>
      </c>
      <c r="BC51" s="216">
        <f>BC50+BC47</f>
        <v>78.089710757513615</v>
      </c>
      <c r="BR51" s="317"/>
      <c r="BS51" s="317"/>
      <c r="BT51" s="317"/>
      <c r="BU51" s="317"/>
      <c r="BV51" s="317"/>
      <c r="BW51" s="317"/>
      <c r="BX51" s="317"/>
      <c r="BY51" s="317"/>
      <c r="BZ51" s="317"/>
      <c r="CA51" s="317"/>
      <c r="CB51" s="654"/>
      <c r="CC51" s="317"/>
    </row>
    <row r="52" spans="1:81">
      <c r="BR52" s="317"/>
      <c r="BS52" s="317"/>
      <c r="BT52" s="317"/>
      <c r="BU52" s="317"/>
      <c r="BV52" s="317"/>
      <c r="BW52" s="317"/>
      <c r="BX52" s="317"/>
      <c r="BY52" s="317"/>
      <c r="BZ52" s="317"/>
      <c r="CA52" s="317"/>
      <c r="CB52" s="654"/>
      <c r="CC52" s="317"/>
    </row>
    <row r="53" spans="1:81" ht="13.5" thickBot="1">
      <c r="AT53" s="215"/>
      <c r="AU53" s="215"/>
      <c r="AV53" s="215"/>
      <c r="AW53" s="215"/>
      <c r="BR53" s="317"/>
      <c r="BS53" s="317"/>
      <c r="BT53" s="317"/>
      <c r="BU53" s="317"/>
      <c r="BV53" s="317"/>
      <c r="BW53" s="317"/>
      <c r="BX53" s="317"/>
      <c r="BY53" s="317"/>
      <c r="BZ53" s="317"/>
      <c r="CA53" s="317"/>
      <c r="CB53" s="654"/>
      <c r="CC53" s="317"/>
    </row>
    <row r="54" spans="1:81">
      <c r="A54" s="699" t="s">
        <v>81</v>
      </c>
      <c r="B54" s="16" t="s">
        <v>3</v>
      </c>
      <c r="C54" s="148" t="s">
        <v>16</v>
      </c>
      <c r="D54" s="55"/>
      <c r="E54" s="56"/>
      <c r="F54" s="56"/>
      <c r="G54" s="149"/>
      <c r="H54" s="150"/>
      <c r="I54" s="151"/>
      <c r="J54" s="26"/>
      <c r="K54" s="26"/>
      <c r="L54" s="133"/>
      <c r="M54" s="56"/>
      <c r="N54" s="16"/>
      <c r="O54" s="18"/>
      <c r="P54" s="18"/>
      <c r="Q54" s="244"/>
      <c r="R54" s="28"/>
      <c r="S54" s="152"/>
      <c r="T54" s="196"/>
      <c r="U54" s="56"/>
      <c r="V54" s="56"/>
      <c r="W54" s="213"/>
      <c r="X54" s="197"/>
      <c r="Y54" s="197"/>
      <c r="Z54" s="197"/>
      <c r="AA54" s="290"/>
      <c r="AB54" s="26"/>
      <c r="AC54" s="26"/>
      <c r="AD54" s="26"/>
      <c r="AE54" s="26"/>
      <c r="AF54" s="84"/>
      <c r="AG54" s="151"/>
      <c r="AH54" s="26"/>
      <c r="AI54" s="26"/>
      <c r="AJ54" s="133"/>
      <c r="AK54" s="27"/>
      <c r="AL54" s="18"/>
      <c r="AM54" s="55"/>
      <c r="AN54" s="56"/>
      <c r="AO54" s="56"/>
      <c r="AP54" s="149"/>
      <c r="AQ54" s="153"/>
      <c r="AR54" s="26"/>
      <c r="AS54" s="26"/>
      <c r="AT54" s="21"/>
      <c r="AU54" s="25"/>
      <c r="AV54" s="21"/>
      <c r="AW54" s="22"/>
      <c r="AX54" s="56"/>
      <c r="AY54" s="16"/>
      <c r="AZ54" s="18"/>
      <c r="BA54" s="18"/>
      <c r="BB54" s="244"/>
      <c r="BC54" s="28"/>
      <c r="BD54" s="8"/>
      <c r="BH54" s="700" t="s">
        <v>86</v>
      </c>
      <c r="BI54" s="701"/>
      <c r="BJ54" s="701"/>
      <c r="BK54" s="701"/>
      <c r="BL54" s="702"/>
      <c r="BM54" s="700" t="s">
        <v>87</v>
      </c>
      <c r="BN54" s="702"/>
      <c r="BP54" s="8"/>
      <c r="BQ54" s="8"/>
      <c r="BR54" s="325"/>
      <c r="BS54" s="325"/>
      <c r="BT54" s="325"/>
      <c r="BU54" s="317"/>
      <c r="BV54" s="317"/>
      <c r="BW54" s="317"/>
      <c r="BX54" s="317"/>
      <c r="BY54" s="317"/>
      <c r="BZ54" s="317"/>
      <c r="CA54" s="317"/>
      <c r="CB54" s="654"/>
      <c r="CC54" s="317"/>
    </row>
    <row r="55" spans="1:81">
      <c r="A55" s="699"/>
      <c r="B55" s="23"/>
      <c r="C55" s="17" t="s">
        <v>17</v>
      </c>
      <c r="D55" s="57"/>
      <c r="E55" s="2"/>
      <c r="F55" s="2"/>
      <c r="G55" s="63"/>
      <c r="H55" s="5"/>
      <c r="I55" s="20"/>
      <c r="J55" s="21"/>
      <c r="K55" s="21"/>
      <c r="L55" s="22"/>
      <c r="M55" s="2"/>
      <c r="N55" s="23"/>
      <c r="O55" s="19"/>
      <c r="P55" s="19"/>
      <c r="Q55" s="19"/>
      <c r="R55" s="24"/>
      <c r="T55" s="201"/>
      <c r="U55" s="2"/>
      <c r="V55" s="2"/>
      <c r="W55" s="199"/>
      <c r="X55" s="198"/>
      <c r="Y55" s="198"/>
      <c r="Z55" s="198"/>
      <c r="AA55" s="272"/>
      <c r="AB55" s="21"/>
      <c r="AC55" s="21"/>
      <c r="AD55" s="21"/>
      <c r="AE55" s="21"/>
      <c r="AF55" s="70"/>
      <c r="AG55" s="20"/>
      <c r="AH55" s="21"/>
      <c r="AI55" s="21"/>
      <c r="AJ55" s="22"/>
      <c r="AK55" s="29"/>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6"/>
      <c r="BU55" s="325"/>
      <c r="BV55" s="317"/>
      <c r="BW55" s="317"/>
      <c r="BX55" s="317"/>
      <c r="BY55" s="317"/>
      <c r="BZ55" s="317"/>
      <c r="CA55" s="317"/>
      <c r="CB55" s="654"/>
      <c r="CC55" s="317"/>
    </row>
    <row r="56" spans="1:81">
      <c r="A56" s="699"/>
      <c r="B56" s="23"/>
      <c r="C56" s="17" t="s">
        <v>18</v>
      </c>
      <c r="D56" s="57"/>
      <c r="E56" s="2"/>
      <c r="F56" s="2"/>
      <c r="G56" s="63"/>
      <c r="H56" s="5"/>
      <c r="I56" s="20"/>
      <c r="J56" s="21"/>
      <c r="K56" s="21"/>
      <c r="L56" s="22"/>
      <c r="M56" s="2"/>
      <c r="N56" s="23"/>
      <c r="O56" s="19"/>
      <c r="P56" s="19"/>
      <c r="Q56" s="19"/>
      <c r="R56" s="24"/>
      <c r="T56" s="201"/>
      <c r="U56" s="2"/>
      <c r="V56" s="2"/>
      <c r="W56" s="199"/>
      <c r="X56" s="198"/>
      <c r="Y56" s="198"/>
      <c r="Z56" s="198"/>
      <c r="AA56" s="272"/>
      <c r="AB56" s="21"/>
      <c r="AC56" s="21"/>
      <c r="AD56" s="21"/>
      <c r="AE56" s="21"/>
      <c r="AF56" s="70"/>
      <c r="AG56" s="20"/>
      <c r="AH56" s="21"/>
      <c r="AI56" s="21"/>
      <c r="AJ56" s="22"/>
      <c r="AK56" s="29"/>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8"/>
      <c r="BU56" s="326"/>
      <c r="BV56" s="317"/>
      <c r="BW56" s="317"/>
      <c r="BX56" s="317"/>
      <c r="BY56" s="317"/>
      <c r="BZ56" s="317"/>
      <c r="CA56" s="317"/>
      <c r="CB56" s="654"/>
      <c r="CC56" s="317"/>
    </row>
    <row r="57" spans="1:81">
      <c r="A57" s="699"/>
      <c r="B57" s="23"/>
      <c r="C57" s="17" t="s">
        <v>182</v>
      </c>
      <c r="D57" s="57"/>
      <c r="E57" s="2"/>
      <c r="F57" s="2"/>
      <c r="G57" s="63"/>
      <c r="H57" s="2"/>
      <c r="I57" s="20"/>
      <c r="J57" s="21"/>
      <c r="K57" s="21"/>
      <c r="L57" s="22"/>
      <c r="M57" s="2"/>
      <c r="N57" s="23"/>
      <c r="O57" s="19"/>
      <c r="P57" s="19"/>
      <c r="Q57" s="19"/>
      <c r="R57" s="24"/>
      <c r="T57" s="201"/>
      <c r="U57" s="2"/>
      <c r="V57" s="2"/>
      <c r="W57" s="199"/>
      <c r="X57" s="198"/>
      <c r="Y57" s="198"/>
      <c r="Z57" s="198"/>
      <c r="AA57" s="274"/>
      <c r="AB57" s="21"/>
      <c r="AC57" s="21"/>
      <c r="AD57" s="21"/>
      <c r="AE57" s="21"/>
      <c r="AF57" s="70"/>
      <c r="AG57" s="20"/>
      <c r="AH57" s="21"/>
      <c r="AI57" s="21"/>
      <c r="AJ57" s="22"/>
      <c r="AK57" s="29"/>
      <c r="AL57" s="19"/>
      <c r="AM57" s="57"/>
      <c r="AN57" s="2"/>
      <c r="AO57" s="2"/>
      <c r="AP57" s="63"/>
      <c r="AQ57" s="68"/>
      <c r="AR57" s="21"/>
      <c r="AS57" s="21"/>
      <c r="AT57" s="21"/>
      <c r="AU57" s="25"/>
      <c r="AV57" s="21"/>
      <c r="AW57" s="22"/>
      <c r="AX57" s="2"/>
      <c r="AY57" s="23"/>
      <c r="AZ57" s="19"/>
      <c r="BA57" s="19"/>
      <c r="BB57" s="19"/>
      <c r="BC57" s="24"/>
      <c r="BD57" s="30"/>
      <c r="BG57" s="145" t="s">
        <v>72</v>
      </c>
      <c r="BH57" s="52">
        <f>N97/1000</f>
        <v>0</v>
      </c>
      <c r="BI57" s="52">
        <f>O97/1000</f>
        <v>0</v>
      </c>
      <c r="BJ57" s="52">
        <f>P97/1000</f>
        <v>0</v>
      </c>
      <c r="BK57" s="53">
        <f>Q97/1000</f>
        <v>347.97783455364555</v>
      </c>
      <c r="BL57" s="54">
        <f>R97/1000</f>
        <v>0.68656822181047639</v>
      </c>
      <c r="BM57" s="51">
        <f>Q98/1000</f>
        <v>347.97783455364555</v>
      </c>
      <c r="BN57" s="54">
        <f>R98/1000</f>
        <v>0.68656822181047639</v>
      </c>
      <c r="BP57" s="30"/>
      <c r="BQ57" s="30"/>
      <c r="BR57" s="327"/>
      <c r="BS57" s="328"/>
      <c r="BT57" s="328"/>
      <c r="BU57" s="329"/>
      <c r="BV57" s="317"/>
      <c r="BW57" s="317"/>
      <c r="BX57" s="317"/>
      <c r="BY57" s="317"/>
      <c r="BZ57" s="317"/>
      <c r="CA57" s="317"/>
      <c r="CB57" s="654"/>
      <c r="CC57" s="317"/>
    </row>
    <row r="58" spans="1:81">
      <c r="A58" s="699"/>
      <c r="B58" s="23"/>
      <c r="C58" s="17" t="s">
        <v>183</v>
      </c>
      <c r="D58" s="57"/>
      <c r="E58" s="2"/>
      <c r="F58" s="2"/>
      <c r="G58" s="63"/>
      <c r="H58" s="2"/>
      <c r="I58" s="20"/>
      <c r="J58" s="21"/>
      <c r="K58" s="21"/>
      <c r="L58" s="22"/>
      <c r="M58" s="2"/>
      <c r="N58" s="23"/>
      <c r="O58" s="19"/>
      <c r="P58" s="19"/>
      <c r="Q58" s="19"/>
      <c r="R58" s="33"/>
      <c r="T58" s="201"/>
      <c r="U58" s="2"/>
      <c r="V58" s="2"/>
      <c r="W58" s="199"/>
      <c r="X58" s="198"/>
      <c r="Y58" s="198"/>
      <c r="Z58" s="198"/>
      <c r="AA58" s="274"/>
      <c r="AB58" s="21"/>
      <c r="AC58" s="21"/>
      <c r="AD58" s="21"/>
      <c r="AE58" s="21"/>
      <c r="AF58" s="70"/>
      <c r="AG58" s="20"/>
      <c r="AH58" s="21"/>
      <c r="AI58" s="21"/>
      <c r="AJ58" s="22"/>
      <c r="AK58" s="29"/>
      <c r="AL58" s="19"/>
      <c r="AM58" s="57"/>
      <c r="AN58" s="2"/>
      <c r="AO58" s="2"/>
      <c r="AP58" s="63"/>
      <c r="AQ58" s="68"/>
      <c r="AR58" s="21"/>
      <c r="AS58" s="21"/>
      <c r="AT58" s="21"/>
      <c r="AU58" s="25"/>
      <c r="AV58" s="21"/>
      <c r="AW58" s="22"/>
      <c r="AX58" s="2"/>
      <c r="AY58" s="23"/>
      <c r="AZ58" s="19"/>
      <c r="BA58" s="19"/>
      <c r="BB58" s="19"/>
      <c r="BC58" s="24"/>
      <c r="BD58" s="30"/>
      <c r="BG58" s="77" t="s">
        <v>68</v>
      </c>
      <c r="BH58" s="52">
        <f>AG97/1000</f>
        <v>72.728936544552681</v>
      </c>
      <c r="BI58" s="52">
        <f>AH97/1000</f>
        <v>64.422063455447301</v>
      </c>
      <c r="BJ58" s="52">
        <f>AI97/1000</f>
        <v>0</v>
      </c>
      <c r="BK58" s="53">
        <f>AJ97/1000</f>
        <v>137.15100000000001</v>
      </c>
      <c r="BL58" s="54">
        <f>AK97/1000</f>
        <v>0.27060205806014365</v>
      </c>
      <c r="BM58" s="51">
        <f>AJ98/1000</f>
        <v>137.15100000000001</v>
      </c>
      <c r="BN58" s="54">
        <f>AK98/1000</f>
        <v>0.27060205806014365</v>
      </c>
      <c r="BR58" s="317"/>
      <c r="BS58" s="317"/>
      <c r="BT58" s="317"/>
      <c r="BU58" s="329"/>
      <c r="BV58" s="317"/>
      <c r="BW58" s="317"/>
      <c r="BX58" s="317"/>
      <c r="BY58" s="317"/>
      <c r="BZ58" s="317"/>
      <c r="CA58" s="317"/>
      <c r="CB58" s="654"/>
      <c r="CC58" s="317"/>
    </row>
    <row r="59" spans="1:81" s="106" customFormat="1">
      <c r="A59" s="699"/>
      <c r="B59" s="107" t="s">
        <v>67</v>
      </c>
      <c r="C59" s="108"/>
      <c r="D59" s="109"/>
      <c r="E59" s="110"/>
      <c r="F59" s="110"/>
      <c r="G59" s="111"/>
      <c r="H59" s="110"/>
      <c r="I59" s="112">
        <f>D97*'[2]Lfill en &amp; composn'!B$133</f>
        <v>7961.0222450816354</v>
      </c>
      <c r="J59" s="113">
        <f>E97*'[2]C&amp;I composn'!$E$10</f>
        <v>8191.0811707430003</v>
      </c>
      <c r="K59" s="113">
        <f>F97*'[2]Lfill en &amp; composn'!C$133</f>
        <v>15379.693191353968</v>
      </c>
      <c r="L59" s="114">
        <f>SUM(I59:K59)</f>
        <v>31531.796607178607</v>
      </c>
      <c r="M59" s="110"/>
      <c r="N59" s="112"/>
      <c r="O59" s="113"/>
      <c r="P59" s="113"/>
      <c r="Q59" s="114">
        <f>L59</f>
        <v>31531.796607178607</v>
      </c>
      <c r="R59" s="115">
        <f>Q59/[2]Popn!$G$42*1000</f>
        <v>62.212955474159038</v>
      </c>
      <c r="T59" s="202"/>
      <c r="U59" s="110"/>
      <c r="V59" s="110"/>
      <c r="W59" s="203"/>
      <c r="X59" s="130"/>
      <c r="Y59" s="130"/>
      <c r="Z59" s="130"/>
      <c r="AA59" s="276"/>
      <c r="AB59" s="113"/>
      <c r="AC59" s="113">
        <f>($AC$97-$AC$69-$AC$84)*'[2]C&amp;I composn'!D$71</f>
        <v>2352.8883129340725</v>
      </c>
      <c r="AD59" s="113"/>
      <c r="AE59" s="113">
        <f>AC59</f>
        <v>2352.8883129340725</v>
      </c>
      <c r="AF59" s="117"/>
      <c r="AG59" s="112">
        <f>AB59</f>
        <v>0</v>
      </c>
      <c r="AH59" s="113">
        <f>AC59</f>
        <v>2352.8883129340725</v>
      </c>
      <c r="AI59" s="113">
        <f>AD59</f>
        <v>0</v>
      </c>
      <c r="AJ59" s="114">
        <f>SUM(AG59:AI59)</f>
        <v>2352.8883129340725</v>
      </c>
      <c r="AK59" s="118">
        <f>AJ59/[2]Popn!$G$42*1000</f>
        <v>4.6423024248136677</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18.220480924252733</v>
      </c>
      <c r="BI59" s="52">
        <f>AZ97/1000</f>
        <v>21.273093668130155</v>
      </c>
      <c r="BJ59" s="52">
        <f>BA97/1000</f>
        <v>0.47509692078957089</v>
      </c>
      <c r="BK59" s="53">
        <f>BB97/1000</f>
        <v>39.968671513172453</v>
      </c>
      <c r="BL59" s="54">
        <f>BC97/1000</f>
        <v>7.8859102517621474E-2</v>
      </c>
      <c r="BM59" s="51">
        <f>BB98/1000</f>
        <v>39.968671513172453</v>
      </c>
      <c r="BN59" s="54">
        <f>BC98/1000</f>
        <v>7.8859102517621474E-2</v>
      </c>
      <c r="BO59" s="6"/>
      <c r="BR59" s="314"/>
      <c r="BS59" s="314"/>
      <c r="BT59" s="314"/>
      <c r="BU59" s="317"/>
      <c r="BV59" s="317"/>
      <c r="BW59" s="317"/>
      <c r="BX59" s="317"/>
      <c r="BY59" s="317"/>
      <c r="BZ59" s="317"/>
      <c r="CA59" s="317"/>
      <c r="CB59" s="654"/>
      <c r="CC59" s="314"/>
    </row>
    <row r="60" spans="1:81">
      <c r="A60" s="699"/>
      <c r="B60" s="23" t="s">
        <v>4</v>
      </c>
      <c r="C60" s="17" t="s">
        <v>19</v>
      </c>
      <c r="D60" s="57"/>
      <c r="E60" s="2"/>
      <c r="F60" s="2"/>
      <c r="G60" s="63"/>
      <c r="H60" s="2"/>
      <c r="I60" s="20"/>
      <c r="J60" s="21">
        <f>E97*'[2]C&amp;I composn'!$E$11</f>
        <v>5444.1035967204452</v>
      </c>
      <c r="K60" s="21"/>
      <c r="L60" s="22"/>
      <c r="M60" s="2"/>
      <c r="N60" s="23"/>
      <c r="O60" s="19"/>
      <c r="P60" s="19"/>
      <c r="Q60" s="19"/>
      <c r="R60" s="33"/>
      <c r="T60" s="201">
        <f>[2]TAS!$H$41</f>
        <v>914</v>
      </c>
      <c r="U60" s="2"/>
      <c r="V60" s="2"/>
      <c r="W60" s="199"/>
      <c r="X60" s="198"/>
      <c r="Y60" s="198"/>
      <c r="Z60" s="198"/>
      <c r="AA60" s="274"/>
      <c r="AB60" s="21">
        <f>T60</f>
        <v>914</v>
      </c>
      <c r="AC60" s="301">
        <f>($AC$97-$AC$69-$AC$84)*'[2]C&amp;I composn'!D$72</f>
        <v>8413.4968687880719</v>
      </c>
      <c r="AD60" s="21"/>
      <c r="AE60" s="21"/>
      <c r="AF60" s="70"/>
      <c r="AG60" s="20"/>
      <c r="AH60" s="21"/>
      <c r="AI60" s="21"/>
      <c r="AJ60" s="22"/>
      <c r="AK60" s="29"/>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9">SUM(BH58:BH59)/BH61</f>
        <v>1</v>
      </c>
      <c r="BI60" s="86">
        <f t="shared" si="9"/>
        <v>1</v>
      </c>
      <c r="BJ60" s="86">
        <f t="shared" si="9"/>
        <v>1</v>
      </c>
      <c r="BK60" s="87">
        <f t="shared" si="9"/>
        <v>0.33730815604108816</v>
      </c>
      <c r="BL60" s="87">
        <f t="shared" si="9"/>
        <v>0.3373081560410881</v>
      </c>
      <c r="BM60" s="88">
        <f t="shared" si="9"/>
        <v>0.33730815604108816</v>
      </c>
      <c r="BN60" s="87">
        <f t="shared" si="9"/>
        <v>0.3373081560410881</v>
      </c>
      <c r="BR60" s="317"/>
      <c r="BS60" s="317"/>
      <c r="BT60" s="317"/>
      <c r="BU60" s="314"/>
      <c r="BV60" s="314"/>
      <c r="BW60" s="314"/>
      <c r="BX60" s="314"/>
      <c r="BY60" s="314"/>
      <c r="BZ60" s="314"/>
      <c r="CA60" s="314"/>
      <c r="CB60" s="653"/>
      <c r="CC60" s="317"/>
    </row>
    <row r="61" spans="1:81">
      <c r="A61" s="699"/>
      <c r="B61" s="23"/>
      <c r="C61" s="17" t="s">
        <v>20</v>
      </c>
      <c r="D61" s="57"/>
      <c r="E61" s="2"/>
      <c r="F61" s="2"/>
      <c r="G61" s="63"/>
      <c r="H61" s="2"/>
      <c r="I61" s="20"/>
      <c r="J61" s="21">
        <f>E97*'[2]C&amp;I composn'!$E$12</f>
        <v>707.39582857609707</v>
      </c>
      <c r="K61" s="21"/>
      <c r="L61" s="22"/>
      <c r="M61" s="2"/>
      <c r="N61" s="23"/>
      <c r="O61" s="19"/>
      <c r="P61" s="19"/>
      <c r="Q61" s="19"/>
      <c r="R61" s="33"/>
      <c r="T61" s="201">
        <f>[2]TAS!$H$40</f>
        <v>348</v>
      </c>
      <c r="U61" s="2"/>
      <c r="V61" s="2"/>
      <c r="W61" s="199"/>
      <c r="X61" s="198"/>
      <c r="Y61" s="198"/>
      <c r="Z61" s="198"/>
      <c r="AA61" s="274"/>
      <c r="AB61" s="21">
        <f>T61</f>
        <v>348</v>
      </c>
      <c r="AC61" s="301">
        <f>($AC$97-$AC$69-$AC$84)*'[2]C&amp;I composn'!D$73</f>
        <v>944.32526688152723</v>
      </c>
      <c r="AD61" s="21"/>
      <c r="AE61" s="21"/>
      <c r="AF61" s="70"/>
      <c r="AG61" s="20"/>
      <c r="AH61" s="21"/>
      <c r="AI61" s="21"/>
      <c r="AJ61" s="22"/>
      <c r="AK61" s="29"/>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10">SUM(BH57:BH59)</f>
        <v>90.949417468805422</v>
      </c>
      <c r="BI61" s="52">
        <f t="shared" si="10"/>
        <v>85.695157123577459</v>
      </c>
      <c r="BJ61" s="52">
        <f t="shared" si="10"/>
        <v>0.47509692078957089</v>
      </c>
      <c r="BK61" s="74">
        <f t="shared" si="10"/>
        <v>525.09750606681803</v>
      </c>
      <c r="BL61" s="76">
        <f t="shared" si="10"/>
        <v>1.0360293823882416</v>
      </c>
      <c r="BM61" s="81">
        <f t="shared" si="10"/>
        <v>525.09750606681803</v>
      </c>
      <c r="BN61" s="76">
        <f t="shared" si="10"/>
        <v>1.0360293823882416</v>
      </c>
      <c r="BR61" s="317"/>
      <c r="BS61" s="317"/>
      <c r="BT61" s="317"/>
      <c r="BU61" s="317"/>
      <c r="BV61" s="317"/>
      <c r="BW61" s="317"/>
      <c r="BX61" s="317"/>
      <c r="BY61" s="317"/>
      <c r="BZ61" s="317"/>
      <c r="CA61" s="317"/>
      <c r="CB61" s="654"/>
      <c r="CC61" s="317"/>
    </row>
    <row r="62" spans="1:81">
      <c r="A62" s="699"/>
      <c r="B62" s="23"/>
      <c r="C62" s="17" t="s">
        <v>21</v>
      </c>
      <c r="D62" s="57"/>
      <c r="E62" s="2"/>
      <c r="F62" s="2"/>
      <c r="G62" s="63"/>
      <c r="H62" s="2"/>
      <c r="I62" s="20"/>
      <c r="J62" s="21">
        <f>E97*'[2]C&amp;I composn'!$E$13</f>
        <v>1.1948497543509893</v>
      </c>
      <c r="K62" s="21"/>
      <c r="L62" s="22"/>
      <c r="M62" s="2"/>
      <c r="N62" s="23"/>
      <c r="O62" s="19"/>
      <c r="P62" s="19"/>
      <c r="Q62" s="19"/>
      <c r="R62" s="33"/>
      <c r="T62" s="201"/>
      <c r="U62" s="2"/>
      <c r="V62" s="2"/>
      <c r="W62" s="199"/>
      <c r="X62" s="198"/>
      <c r="Y62" s="198"/>
      <c r="Z62" s="198"/>
      <c r="AA62" s="274"/>
      <c r="AB62" s="21"/>
      <c r="AC62" s="301">
        <f>($AC$97-$AC$69-$AC$84)*'[2]C&amp;I composn'!D$74</f>
        <v>2.5896017153740796</v>
      </c>
      <c r="AD62" s="21"/>
      <c r="AE62" s="21"/>
      <c r="AF62" s="70"/>
      <c r="AG62" s="20"/>
      <c r="AH62" s="21"/>
      <c r="AI62" s="21"/>
      <c r="AJ62" s="22"/>
      <c r="AK62" s="29"/>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317"/>
      <c r="CB62" s="654"/>
      <c r="CC62" s="317"/>
    </row>
    <row r="63" spans="1:81" s="106" customFormat="1">
      <c r="A63" s="699"/>
      <c r="B63" s="107" t="s">
        <v>67</v>
      </c>
      <c r="C63" s="108"/>
      <c r="D63" s="109"/>
      <c r="E63" s="110"/>
      <c r="F63" s="110"/>
      <c r="G63" s="111"/>
      <c r="H63" s="110"/>
      <c r="I63" s="112">
        <f>D97*'[2]Lfill en &amp; composn'!B$134</f>
        <v>5548.5840163068733</v>
      </c>
      <c r="J63" s="113">
        <f>SUM(J60:J62)</f>
        <v>6152.6942750508933</v>
      </c>
      <c r="K63" s="113">
        <f>F97*'[2]Lfill en &amp; composn'!C$134</f>
        <v>955.09096906005891</v>
      </c>
      <c r="L63" s="114">
        <f>SUM(I63:K63)</f>
        <v>12656.369260417825</v>
      </c>
      <c r="M63" s="110"/>
      <c r="N63" s="112"/>
      <c r="O63" s="113"/>
      <c r="P63" s="113"/>
      <c r="Q63" s="114">
        <f>L63</f>
        <v>12656.369260417825</v>
      </c>
      <c r="R63" s="115">
        <f>Q63/[2]Popn!$G$42*1000</f>
        <v>24.971305855868362</v>
      </c>
      <c r="T63" s="202"/>
      <c r="U63" s="110"/>
      <c r="V63" s="110"/>
      <c r="W63" s="203"/>
      <c r="X63" s="130"/>
      <c r="Y63" s="130"/>
      <c r="Z63" s="130"/>
      <c r="AA63" s="276"/>
      <c r="AB63" s="113">
        <f>SUM(AB60:AB62)</f>
        <v>1262</v>
      </c>
      <c r="AC63" s="113">
        <f>SUM(AC60:AC62)</f>
        <v>9360.4117373849731</v>
      </c>
      <c r="AD63" s="113">
        <f>SUM(AD60:AD62)</f>
        <v>0</v>
      </c>
      <c r="AE63" s="113">
        <f>SUM(AB63:AD63)</f>
        <v>10622.411737384973</v>
      </c>
      <c r="AF63" s="117"/>
      <c r="AG63" s="112">
        <f>AB63</f>
        <v>1262</v>
      </c>
      <c r="AH63" s="113">
        <f>AC63</f>
        <v>9360.4117373849731</v>
      </c>
      <c r="AI63" s="113">
        <f>AD63</f>
        <v>0</v>
      </c>
      <c r="AJ63" s="114">
        <f>SUM(AG63:AI63)</f>
        <v>10622.411737384973</v>
      </c>
      <c r="AK63" s="118">
        <f>AJ63/[2]Popn!$G$42*1000</f>
        <v>20.958261169795332</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4"/>
      <c r="BU63" s="317"/>
      <c r="BV63" s="317"/>
      <c r="BW63" s="317"/>
      <c r="BX63" s="317"/>
      <c r="BY63" s="317"/>
      <c r="BZ63" s="317"/>
      <c r="CA63" s="317"/>
      <c r="CB63" s="654"/>
      <c r="CC63" s="314"/>
    </row>
    <row r="64" spans="1:81">
      <c r="A64" s="699"/>
      <c r="B64" s="23" t="s">
        <v>2</v>
      </c>
      <c r="C64" s="17" t="s">
        <v>22</v>
      </c>
      <c r="D64" s="57"/>
      <c r="E64" s="2"/>
      <c r="F64" s="2"/>
      <c r="G64" s="63"/>
      <c r="H64" s="2"/>
      <c r="I64" s="20"/>
      <c r="J64" s="21">
        <f>E97*'[2]C&amp;I composn'!$E$14</f>
        <v>51359.798713877164</v>
      </c>
      <c r="K64" s="21"/>
      <c r="L64" s="22"/>
      <c r="M64" s="2"/>
      <c r="N64" s="20"/>
      <c r="O64" s="21"/>
      <c r="P64" s="21"/>
      <c r="Q64" s="21"/>
      <c r="R64" s="34"/>
      <c r="T64" s="201"/>
      <c r="U64" s="2"/>
      <c r="V64" s="2"/>
      <c r="W64" s="199"/>
      <c r="X64" s="198"/>
      <c r="Y64" s="198"/>
      <c r="Z64" s="198"/>
      <c r="AA64" s="274"/>
      <c r="AB64" s="726"/>
      <c r="AC64" s="21"/>
      <c r="AD64" s="21"/>
      <c r="AE64" s="21"/>
      <c r="AF64" s="70"/>
      <c r="AG64" s="20"/>
      <c r="AH64" s="21"/>
      <c r="AI64" s="21"/>
      <c r="AJ64" s="22"/>
      <c r="AK64" s="29"/>
      <c r="AL64" s="19"/>
      <c r="AM64" s="57"/>
      <c r="AN64" s="2"/>
      <c r="AO64" s="2"/>
      <c r="AP64" s="63"/>
      <c r="AQ64" s="70"/>
      <c r="AR64" s="21">
        <f>L69*'[2]Lfill en &amp; composn'!$G$82/SUM('[2]Lfill en &amp; composn'!$G$82,'[2]Lfill en &amp; composn'!$G$84:$G$85,'[2]Lfill en &amp; composn'!$G$87:$G$88)*'[2]Lfill en &amp; composn'!$D$16</f>
        <v>13131.785508170988</v>
      </c>
      <c r="AS64" s="35">
        <f>AR64/SUM($AR$54:$AR$96)</f>
        <v>0.36831787540063698</v>
      </c>
      <c r="AT64" s="21">
        <f>AS64*'[2]Lfill en &amp; composn'!$G$63/'[2]Lfill en &amp; composn'!$B$16</f>
        <v>22295.828197736788</v>
      </c>
      <c r="AU64" s="25"/>
      <c r="AV64" s="21"/>
      <c r="AW64" s="22"/>
      <c r="AX64" s="82"/>
      <c r="AY64" s="20"/>
      <c r="AZ64" s="21"/>
      <c r="BA64" s="21"/>
      <c r="BB64" s="21"/>
      <c r="BC64" s="29"/>
      <c r="BD64" s="30"/>
      <c r="BR64" s="317"/>
      <c r="BS64" s="317"/>
      <c r="BT64" s="317"/>
      <c r="BU64" s="316" t="s">
        <v>108</v>
      </c>
      <c r="BV64" s="314"/>
      <c r="BW64" s="310" t="s">
        <v>107</v>
      </c>
      <c r="BX64" s="314"/>
      <c r="BY64" s="314"/>
      <c r="BZ64" s="314"/>
      <c r="CA64" s="314"/>
      <c r="CB64" s="653"/>
      <c r="CC64" s="317"/>
    </row>
    <row r="65" spans="1:81" ht="38.25">
      <c r="A65" s="699"/>
      <c r="B65" s="23"/>
      <c r="C65" s="17" t="s">
        <v>23</v>
      </c>
      <c r="D65" s="57"/>
      <c r="E65" s="2"/>
      <c r="F65" s="2"/>
      <c r="G65" s="63"/>
      <c r="H65" s="2"/>
      <c r="I65" s="20"/>
      <c r="J65" s="21">
        <f>E97*'[2]C&amp;I composn'!$E$15</f>
        <v>1903.2874552235207</v>
      </c>
      <c r="K65" s="21"/>
      <c r="L65" s="22"/>
      <c r="M65" s="2"/>
      <c r="N65" s="20"/>
      <c r="O65" s="21"/>
      <c r="P65" s="21"/>
      <c r="Q65" s="21"/>
      <c r="R65" s="34"/>
      <c r="T65" s="201"/>
      <c r="U65" s="2"/>
      <c r="V65" s="2"/>
      <c r="W65" s="199"/>
      <c r="X65" s="198"/>
      <c r="Y65" s="198"/>
      <c r="Z65" s="198"/>
      <c r="AA65" s="274"/>
      <c r="AB65" s="726"/>
      <c r="AC65" s="21"/>
      <c r="AD65" s="21"/>
      <c r="AE65" s="21"/>
      <c r="AF65" s="70"/>
      <c r="AG65" s="20"/>
      <c r="AH65" s="21"/>
      <c r="AI65" s="21"/>
      <c r="AJ65" s="22"/>
      <c r="AK65" s="29"/>
      <c r="AL65" s="19"/>
      <c r="AM65" s="57"/>
      <c r="AN65" s="2"/>
      <c r="AO65" s="2"/>
      <c r="AP65" s="63"/>
      <c r="AQ65" s="68"/>
      <c r="AR65" s="21">
        <f>L69*'[2]Lfill en &amp; composn'!$G$84/SUM('[2]Lfill en &amp; composn'!$G$82,'[2]Lfill en &amp; composn'!$G$84:$G$85,'[2]Lfill en &amp; composn'!$G$87:$G$88)*'[2]Lfill en &amp; composn'!$D$18</f>
        <v>3957.4510230204792</v>
      </c>
      <c r="AS65" s="35">
        <f>AR65/SUM($AR$54:$AR$96)</f>
        <v>0.11099784959890018</v>
      </c>
      <c r="AT65" s="21">
        <f>AS65*'[2]Lfill en &amp; composn'!$G$63/'[2]Lfill en &amp; composn'!$B$18</f>
        <v>5039.3745802115063</v>
      </c>
      <c r="AU65" s="25"/>
      <c r="AV65" s="21"/>
      <c r="AW65" s="22"/>
      <c r="AX65" s="2"/>
      <c r="AY65" s="20"/>
      <c r="AZ65" s="21"/>
      <c r="BA65" s="21"/>
      <c r="BB65" s="21"/>
      <c r="BC65" s="29"/>
      <c r="BD65" s="36"/>
      <c r="BR65" s="317"/>
      <c r="BS65" s="317"/>
      <c r="BT65" s="317"/>
      <c r="BU65" s="317"/>
      <c r="BV65" s="318" t="s">
        <v>100</v>
      </c>
      <c r="BW65" s="311" t="s">
        <v>104</v>
      </c>
      <c r="BX65" s="318" t="s">
        <v>101</v>
      </c>
      <c r="BY65" s="319" t="s">
        <v>102</v>
      </c>
      <c r="BZ65" s="318" t="s">
        <v>103</v>
      </c>
      <c r="CA65" s="574" t="s">
        <v>192</v>
      </c>
      <c r="CB65" s="655" t="s">
        <v>258</v>
      </c>
      <c r="CC65" s="317" t="s">
        <v>259</v>
      </c>
    </row>
    <row r="66" spans="1:81">
      <c r="A66" s="699"/>
      <c r="B66" s="23"/>
      <c r="C66" s="17" t="s">
        <v>24</v>
      </c>
      <c r="D66" s="57"/>
      <c r="E66" s="2"/>
      <c r="F66" s="2"/>
      <c r="G66" s="63"/>
      <c r="H66" s="2"/>
      <c r="I66" s="20"/>
      <c r="J66" s="21">
        <f>E97*'[2]C&amp;I composn'!$E$16</f>
        <v>17057.068630984497</v>
      </c>
      <c r="K66" s="21"/>
      <c r="L66" s="22"/>
      <c r="M66" s="2"/>
      <c r="N66" s="20"/>
      <c r="O66" s="21"/>
      <c r="P66" s="21"/>
      <c r="Q66" s="21"/>
      <c r="R66" s="34"/>
      <c r="T66" s="201"/>
      <c r="U66" s="2"/>
      <c r="V66" s="2"/>
      <c r="W66" s="199"/>
      <c r="X66" s="198"/>
      <c r="Y66" s="198"/>
      <c r="Z66" s="198"/>
      <c r="AA66" s="274"/>
      <c r="AB66" s="726"/>
      <c r="AC66" s="21"/>
      <c r="AD66" s="21"/>
      <c r="AE66" s="21"/>
      <c r="AF66" s="70"/>
      <c r="AG66" s="20"/>
      <c r="AH66" s="21"/>
      <c r="AI66" s="21"/>
      <c r="AJ66" s="22"/>
      <c r="AK66" s="29"/>
      <c r="AL66" s="19"/>
      <c r="AM66" s="57"/>
      <c r="AN66" s="2"/>
      <c r="AO66" s="2"/>
      <c r="AP66" s="63"/>
      <c r="AQ66" s="70"/>
      <c r="AR66" s="21">
        <f>L69*'[2]Lfill en &amp; composn'!$G$85/SUM('[2]Lfill en &amp; composn'!$G$82,'[2]Lfill en &amp; composn'!$G$84:$G$85,'[2]Lfill en &amp; composn'!$G$87:$G$88)*'[2]Lfill en &amp; composn'!$D$19</f>
        <v>2018.0341235754038</v>
      </c>
      <c r="AS66" s="35">
        <f>AR66/SUM($AR$54:$AR$96)</f>
        <v>5.6601445433204001E-2</v>
      </c>
      <c r="AT66" s="21">
        <f>AS66*'[2]Lfill en &amp; composn'!$G$63/'[2]Lfill en &amp; composn'!$B$19</f>
        <v>1195.2290437724491</v>
      </c>
      <c r="AU66" s="25"/>
      <c r="AV66" s="21"/>
      <c r="AW66" s="22"/>
      <c r="AX66" s="2"/>
      <c r="AY66" s="20"/>
      <c r="AZ66" s="21"/>
      <c r="BA66" s="21"/>
      <c r="BB66" s="21"/>
      <c r="BC66" s="29"/>
      <c r="BR66" s="317"/>
      <c r="BS66" s="317"/>
      <c r="BT66" s="317"/>
      <c r="BU66" s="320" t="s">
        <v>72</v>
      </c>
      <c r="BV66" s="330">
        <f>BK151</f>
        <v>410.75286015704131</v>
      </c>
      <c r="BW66" s="312">
        <f>AVERAGE(BV66,BX66)</f>
        <v>376.93994927701385</v>
      </c>
      <c r="BX66" s="331">
        <f>BK104</f>
        <v>343.12703839698634</v>
      </c>
      <c r="BY66" s="331">
        <f>BK57</f>
        <v>347.97783455364555</v>
      </c>
      <c r="BZ66" s="331">
        <f>BK10</f>
        <v>405.71007966823214</v>
      </c>
      <c r="CA66" s="553">
        <f>(BZ66-BV66)/BV66</f>
        <v>-1.2276921180490837E-2</v>
      </c>
      <c r="CB66" s="594">
        <f>(BZ66/BV66)^(1/4)-1</f>
        <v>-3.0834626134891296E-3</v>
      </c>
      <c r="CC66" s="317"/>
    </row>
    <row r="67" spans="1:81">
      <c r="A67" s="699"/>
      <c r="B67" s="23"/>
      <c r="C67" s="17" t="s">
        <v>25</v>
      </c>
      <c r="D67" s="57"/>
      <c r="E67" s="2"/>
      <c r="F67" s="2"/>
      <c r="G67" s="63"/>
      <c r="H67" s="2"/>
      <c r="I67" s="20"/>
      <c r="J67" s="21">
        <f>E97*'[2]C&amp;I composn'!$E$17</f>
        <v>15061.507424086265</v>
      </c>
      <c r="K67" s="21"/>
      <c r="L67" s="22"/>
      <c r="M67" s="2"/>
      <c r="N67" s="20"/>
      <c r="O67" s="21"/>
      <c r="P67" s="21"/>
      <c r="Q67" s="21"/>
      <c r="R67" s="34"/>
      <c r="T67" s="201"/>
      <c r="U67" s="2"/>
      <c r="V67" s="2"/>
      <c r="W67" s="199"/>
      <c r="X67" s="198"/>
      <c r="Y67" s="198"/>
      <c r="Z67" s="198"/>
      <c r="AA67" s="274"/>
      <c r="AB67" s="726"/>
      <c r="AC67" s="21"/>
      <c r="AD67" s="21"/>
      <c r="AE67" s="21"/>
      <c r="AF67" s="70"/>
      <c r="AG67" s="20"/>
      <c r="AH67" s="21"/>
      <c r="AI67" s="21"/>
      <c r="AJ67" s="22"/>
      <c r="AK67" s="29"/>
      <c r="AL67" s="19"/>
      <c r="AM67" s="57"/>
      <c r="AN67" s="2"/>
      <c r="AO67" s="2"/>
      <c r="AP67" s="63"/>
      <c r="AQ67" s="68"/>
      <c r="AR67" s="21">
        <f>L69*'[2]Lfill en &amp; composn'!$G$93/SUM('[2]Lfill en &amp; composn'!$G$82,'[2]Lfill en &amp; composn'!$G$84:$G$85,'[2]Lfill en &amp; composn'!$G$87:$G$88)*'[2]Lfill en &amp; composn'!$D$24</f>
        <v>1054.3440283347809</v>
      </c>
      <c r="AS67" s="35">
        <f>AR67/SUM($AR$54:$AR$96)</f>
        <v>2.957204503652475E-2</v>
      </c>
      <c r="AT67" s="21">
        <f>AS67*'[2]Lfill en &amp; composn'!$G$63/'[2]Lfill en &amp; composn'!$B$24</f>
        <v>1118.8250686871061</v>
      </c>
      <c r="AU67" s="25"/>
      <c r="AV67" s="21"/>
      <c r="AW67" s="22"/>
      <c r="AX67" s="83"/>
      <c r="AY67" s="20"/>
      <c r="AZ67" s="21"/>
      <c r="BA67" s="21"/>
      <c r="BB67" s="21"/>
      <c r="BC67" s="29"/>
      <c r="BR67" s="317"/>
      <c r="BS67" s="317"/>
      <c r="BT67" s="317"/>
      <c r="BU67" s="323" t="s">
        <v>68</v>
      </c>
      <c r="BV67" s="332">
        <f>BK152</f>
        <v>80.237460899711294</v>
      </c>
      <c r="BW67" s="313">
        <f>AVERAGE(BV67,BX67)</f>
        <v>96.364376892628883</v>
      </c>
      <c r="BX67" s="333">
        <f>BK105</f>
        <v>112.49129288554649</v>
      </c>
      <c r="BY67" s="333">
        <f>BK58</f>
        <v>137.15100000000001</v>
      </c>
      <c r="BZ67" s="333">
        <f>BK11</f>
        <v>156.87599999999998</v>
      </c>
      <c r="CA67" s="328">
        <f t="shared" ref="CA67:CA69" si="11">(BZ67-BV67)/BV67</f>
        <v>0.95514661407442969</v>
      </c>
      <c r="CB67" s="593">
        <f t="shared" ref="CB67:CB69" si="12">(BZ67/BV67)^(1/4)-1</f>
        <v>0.18248280051508492</v>
      </c>
      <c r="CC67" s="317"/>
    </row>
    <row r="68" spans="1:81">
      <c r="A68" s="699"/>
      <c r="B68" s="23"/>
      <c r="C68" s="17" t="s">
        <v>0</v>
      </c>
      <c r="D68" s="201"/>
      <c r="E68" s="2"/>
      <c r="F68" s="2"/>
      <c r="G68" s="199"/>
      <c r="H68" s="198">
        <f>[2]Biosolids!$G$195</f>
        <v>13956</v>
      </c>
      <c r="I68" s="112"/>
      <c r="J68" s="113"/>
      <c r="K68" s="113"/>
      <c r="L68" s="22"/>
      <c r="M68" s="68" t="s">
        <v>193</v>
      </c>
      <c r="N68" s="20"/>
      <c r="O68" s="19"/>
      <c r="P68" s="19"/>
      <c r="Q68" s="19"/>
      <c r="R68" s="34"/>
      <c r="T68" s="201"/>
      <c r="U68" s="2"/>
      <c r="V68" s="2"/>
      <c r="W68" s="199"/>
      <c r="X68" s="198"/>
      <c r="Y68" s="198"/>
      <c r="Z68" s="198"/>
      <c r="AA68" s="278">
        <f>[2]Biosolids!$G$194</f>
        <v>17985</v>
      </c>
      <c r="AB68" s="21">
        <f>AA68</f>
        <v>17985</v>
      </c>
      <c r="AC68" s="21"/>
      <c r="AD68" s="21"/>
      <c r="AE68" s="21"/>
      <c r="AF68" s="68" t="s">
        <v>193</v>
      </c>
      <c r="AG68" s="20"/>
      <c r="AH68" s="21"/>
      <c r="AI68" s="21"/>
      <c r="AJ68" s="22"/>
      <c r="AK68" s="29"/>
      <c r="AL68" s="19"/>
      <c r="AM68" s="57"/>
      <c r="AN68" s="2"/>
      <c r="AO68" s="2"/>
      <c r="AP68" s="63"/>
      <c r="AQ68" s="68"/>
      <c r="AR68" s="21">
        <f>L69*'[2]Lfill en &amp; composn'!$G$87/SUM('[2]Lfill en &amp; composn'!$G$82,'[2]Lfill en &amp; composn'!$G$84:$G$85,'[2]Lfill en &amp; composn'!$G$87:$G$88)*'[2]Lfill en &amp; composn'!$D$21</f>
        <v>47.688257860536964</v>
      </c>
      <c r="AS68" s="35">
        <f>AR68/SUM($AR$54:$AR$96)</f>
        <v>1.3375513791191293E-3</v>
      </c>
      <c r="AT68" s="21">
        <f>AS68*'[2]Lfill en &amp; composn'!$G$63/'[2]Lfill en &amp; composn'!$B$21</f>
        <v>242.90281096496381</v>
      </c>
      <c r="AU68" s="25"/>
      <c r="AV68" s="21"/>
      <c r="AW68" s="22"/>
      <c r="AX68" s="2"/>
      <c r="AY68" s="23"/>
      <c r="AZ68" s="19"/>
      <c r="BA68" s="19"/>
      <c r="BB68" s="21"/>
      <c r="BC68" s="24"/>
      <c r="BR68" s="317"/>
      <c r="BS68" s="317"/>
      <c r="BT68" s="314"/>
      <c r="BU68" s="323" t="s">
        <v>69</v>
      </c>
      <c r="BV68" s="332">
        <f>BK153</f>
        <v>36.458956135681511</v>
      </c>
      <c r="BW68" s="313">
        <f>AVERAGE(BV68,BX68)</f>
        <v>44.034628348346793</v>
      </c>
      <c r="BX68" s="333">
        <f>BK106</f>
        <v>51.610300561012075</v>
      </c>
      <c r="BY68" s="333">
        <f>BK59</f>
        <v>39.968671513172453</v>
      </c>
      <c r="BZ68" s="333">
        <f>BK12</f>
        <v>39.842053713452579</v>
      </c>
      <c r="CA68" s="328">
        <f t="shared" si="11"/>
        <v>9.279194843595949E-2</v>
      </c>
      <c r="CB68" s="593">
        <f t="shared" si="12"/>
        <v>2.243185424064631E-2</v>
      </c>
      <c r="CC68" s="317"/>
    </row>
    <row r="69" spans="1:81" s="106" customFormat="1">
      <c r="A69" s="699"/>
      <c r="B69" s="107" t="s">
        <v>67</v>
      </c>
      <c r="C69" s="108"/>
      <c r="D69" s="109"/>
      <c r="E69" s="110"/>
      <c r="F69" s="110"/>
      <c r="G69" s="111"/>
      <c r="H69" s="110"/>
      <c r="I69" s="112">
        <f>D97*'[2]Lfill en &amp; composn'!B$135</f>
        <v>89831.045000000013</v>
      </c>
      <c r="J69" s="113">
        <f>SUM(J64:J68)</f>
        <v>85381.662224171436</v>
      </c>
      <c r="K69" s="113">
        <f>F97*'[2]Lfill en &amp; composn'!C$135</f>
        <v>2206.88</v>
      </c>
      <c r="L69" s="114">
        <f>SUM(I69:K69)</f>
        <v>177419.58722417144</v>
      </c>
      <c r="M69" s="110"/>
      <c r="N69" s="112"/>
      <c r="O69" s="113"/>
      <c r="P69" s="113"/>
      <c r="Q69" s="114">
        <f>L69-AT69</f>
        <v>147527.42752279862</v>
      </c>
      <c r="R69" s="115">
        <f>Q69/[2]Popn!$G$42*1000</f>
        <v>291.07498675174071</v>
      </c>
      <c r="T69" s="202"/>
      <c r="U69" s="110"/>
      <c r="V69" s="110"/>
      <c r="W69" s="203">
        <f>[2]TAS!$G$17</f>
        <v>40411</v>
      </c>
      <c r="X69" s="130"/>
      <c r="Y69" s="130"/>
      <c r="Z69" s="130"/>
      <c r="AA69" s="276"/>
      <c r="AB69" s="113">
        <f>$W69*Vic!AG69/SUM(Vic!$AG69:$AH69)</f>
        <v>21103.217544552681</v>
      </c>
      <c r="AC69" s="113">
        <f>$W69*Vic!AH69/SUM(Vic!$AG69:$AH69)</f>
        <v>19307.782455447319</v>
      </c>
      <c r="AD69" s="113"/>
      <c r="AE69" s="113">
        <f>SUM(AB69:AD69)</f>
        <v>40411</v>
      </c>
      <c r="AF69" s="70" t="s">
        <v>98</v>
      </c>
      <c r="AG69" s="112">
        <f>AB69</f>
        <v>21103.217544552681</v>
      </c>
      <c r="AH69" s="113">
        <f>AC69</f>
        <v>19307.782455447319</v>
      </c>
      <c r="AI69" s="113">
        <f>AD69</f>
        <v>0</v>
      </c>
      <c r="AJ69" s="114">
        <f>SUM(AG69:AI69)</f>
        <v>40411</v>
      </c>
      <c r="AK69" s="118">
        <f>AJ69/[2]Popn!$G$42*1000</f>
        <v>79.73182673307862</v>
      </c>
      <c r="AL69" s="119"/>
      <c r="AM69" s="109"/>
      <c r="AN69" s="110"/>
      <c r="AO69" s="110"/>
      <c r="AP69" s="111"/>
      <c r="AQ69" s="116"/>
      <c r="AR69" s="113"/>
      <c r="AS69" s="113"/>
      <c r="AT69" s="113">
        <f>SUM(AT64:AT68)</f>
        <v>29892.159701372813</v>
      </c>
      <c r="AU69" s="120">
        <f>$AT69*I69/SUM($I69:$K69)</f>
        <v>15134.991492728337</v>
      </c>
      <c r="AV69" s="113">
        <f>$AT69*J69/SUM($I69:$K69)</f>
        <v>14385.346751758694</v>
      </c>
      <c r="AW69" s="114">
        <f>$AT69*K69/SUM($I69:$K69)</f>
        <v>371.82145688578277</v>
      </c>
      <c r="AX69" s="110"/>
      <c r="AY69" s="241">
        <f>AU69</f>
        <v>15134.991492728337</v>
      </c>
      <c r="AZ69" s="242">
        <f>AV69</f>
        <v>14385.346751758694</v>
      </c>
      <c r="BA69" s="242">
        <f>AW69</f>
        <v>371.82145688578277</v>
      </c>
      <c r="BB69" s="243">
        <f>AT69+AP69</f>
        <v>29892.159701372813</v>
      </c>
      <c r="BC69" s="118">
        <f>BB69/[2]Popn!$G$42*1000</f>
        <v>58.977914379435603</v>
      </c>
      <c r="BD69" s="122"/>
      <c r="BG69" s="146"/>
      <c r="BH69" s="138" t="s">
        <v>72</v>
      </c>
      <c r="BI69" s="138" t="s">
        <v>68</v>
      </c>
      <c r="BJ69" s="138" t="s">
        <v>69</v>
      </c>
      <c r="BK69" s="138" t="s">
        <v>73</v>
      </c>
      <c r="BL69" s="138" t="s">
        <v>78</v>
      </c>
      <c r="BM69" s="6"/>
      <c r="BN69" s="6"/>
      <c r="BO69" s="6"/>
      <c r="BR69" s="314"/>
      <c r="BS69" s="314"/>
      <c r="BT69" s="314"/>
      <c r="BU69" s="576" t="s">
        <v>191</v>
      </c>
      <c r="BV69" s="577">
        <f>SUM(BV66:BV68)</f>
        <v>527.44927719243412</v>
      </c>
      <c r="BW69" s="578">
        <f t="shared" ref="BW69:BZ69" si="13">SUM(BW66:BW68)</f>
        <v>517.33895451798958</v>
      </c>
      <c r="BX69" s="579">
        <f t="shared" si="13"/>
        <v>507.22863184354492</v>
      </c>
      <c r="BY69" s="579">
        <f t="shared" si="13"/>
        <v>525.09750606681803</v>
      </c>
      <c r="BZ69" s="579">
        <f t="shared" si="13"/>
        <v>602.42813338168469</v>
      </c>
      <c r="CA69" s="580">
        <f t="shared" si="11"/>
        <v>0.14215368080198421</v>
      </c>
      <c r="CB69" s="652">
        <f t="shared" si="12"/>
        <v>3.3787165114394835E-2</v>
      </c>
      <c r="CC69" s="314"/>
    </row>
    <row r="70" spans="1:81">
      <c r="A70" s="699"/>
      <c r="B70" s="23" t="s">
        <v>5</v>
      </c>
      <c r="C70" s="17" t="s">
        <v>26</v>
      </c>
      <c r="D70" s="57"/>
      <c r="E70" s="2"/>
      <c r="F70" s="2"/>
      <c r="G70" s="63"/>
      <c r="H70" s="2"/>
      <c r="I70" s="20"/>
      <c r="J70" s="21">
        <f>E97*'[2]C&amp;I composn'!$E$18</f>
        <v>27520.546402586351</v>
      </c>
      <c r="K70" s="21"/>
      <c r="L70" s="22"/>
      <c r="M70" s="2"/>
      <c r="N70" s="23"/>
      <c r="O70" s="19"/>
      <c r="P70" s="19"/>
      <c r="Q70" s="19"/>
      <c r="R70" s="33"/>
      <c r="T70" s="201"/>
      <c r="U70" s="2"/>
      <c r="V70" s="2"/>
      <c r="W70" s="199"/>
      <c r="X70" s="198"/>
      <c r="Y70" s="198"/>
      <c r="Z70" s="198"/>
      <c r="AA70" s="274"/>
      <c r="AB70" s="21"/>
      <c r="AC70" s="301">
        <f>($AC$97-$AC$69-$AC$84)*'[2]C&amp;I composn'!D$79</f>
        <v>19229.102518630563</v>
      </c>
      <c r="AD70" s="21"/>
      <c r="AE70" s="21"/>
      <c r="AF70" s="70"/>
      <c r="AG70" s="20"/>
      <c r="AH70" s="21"/>
      <c r="AI70" s="21"/>
      <c r="AJ70" s="22"/>
      <c r="AK70" s="29"/>
      <c r="AL70" s="19"/>
      <c r="AM70" s="57"/>
      <c r="AN70" s="2"/>
      <c r="AO70" s="2"/>
      <c r="AP70" s="63"/>
      <c r="AQ70" s="68"/>
      <c r="AR70" s="21"/>
      <c r="AS70" s="21"/>
      <c r="AT70" s="21"/>
      <c r="AU70" s="240"/>
      <c r="AV70" s="19"/>
      <c r="AW70" s="195"/>
      <c r="AX70" s="2"/>
      <c r="AY70" s="238"/>
      <c r="BB70" s="19"/>
      <c r="BC70" s="24"/>
      <c r="BG70" s="147" t="s">
        <v>3</v>
      </c>
      <c r="BH70" s="52">
        <f>Q59/1000</f>
        <v>31.531796607178606</v>
      </c>
      <c r="BI70" s="52">
        <f>AJ59/1000</f>
        <v>2.3528883129340725</v>
      </c>
      <c r="BJ70" s="52">
        <f>BB59/1000</f>
        <v>0</v>
      </c>
      <c r="BK70" s="137">
        <f>SUM(BI70:BJ70)/BL70</f>
        <v>6.9438105105043682E-2</v>
      </c>
      <c r="BL70" s="52">
        <f>SUM(BH70:BJ70)</f>
        <v>33.884684920112676</v>
      </c>
      <c r="BR70" s="317"/>
      <c r="BS70" s="317"/>
      <c r="BT70" s="317"/>
      <c r="BU70" s="314"/>
      <c r="BV70" s="314"/>
      <c r="BW70" s="314"/>
      <c r="BX70" s="314"/>
      <c r="BY70" s="314"/>
      <c r="BZ70" s="314"/>
      <c r="CA70" s="314"/>
      <c r="CB70" s="314"/>
      <c r="CC70" s="317"/>
    </row>
    <row r="71" spans="1:81">
      <c r="A71" s="699"/>
      <c r="B71" s="23"/>
      <c r="C71" s="17" t="s">
        <v>27</v>
      </c>
      <c r="D71" s="57"/>
      <c r="E71" s="2"/>
      <c r="F71" s="2"/>
      <c r="G71" s="63"/>
      <c r="H71" s="2"/>
      <c r="I71" s="20"/>
      <c r="J71" s="725">
        <f>E97*'[2]C&amp;I composn'!$E$20</f>
        <v>9047.4839808384622</v>
      </c>
      <c r="K71" s="21"/>
      <c r="L71" s="22"/>
      <c r="M71" s="2"/>
      <c r="N71" s="23"/>
      <c r="O71" s="19"/>
      <c r="P71" s="19"/>
      <c r="Q71" s="19"/>
      <c r="R71" s="33"/>
      <c r="T71" s="201"/>
      <c r="U71" s="2"/>
      <c r="V71" s="2"/>
      <c r="W71" s="199"/>
      <c r="X71" s="198"/>
      <c r="Y71" s="198"/>
      <c r="Z71" s="198"/>
      <c r="AA71" s="274"/>
      <c r="AB71" s="21"/>
      <c r="AD71" s="21"/>
      <c r="AE71" s="21"/>
      <c r="AF71" s="70"/>
      <c r="AG71" s="20"/>
      <c r="AH71" s="21"/>
      <c r="AI71" s="21"/>
      <c r="AJ71" s="22"/>
      <c r="AK71" s="29"/>
      <c r="AL71" s="19"/>
      <c r="AM71" s="57"/>
      <c r="AN71" s="2"/>
      <c r="AO71" s="2"/>
      <c r="AP71" s="63"/>
      <c r="AQ71" s="68"/>
      <c r="AR71" s="21"/>
      <c r="AS71" s="21"/>
      <c r="AT71" s="21"/>
      <c r="AU71" s="240"/>
      <c r="AV71" s="19"/>
      <c r="AW71" s="195"/>
      <c r="AX71" s="2"/>
      <c r="AY71" s="238"/>
      <c r="BB71" s="19"/>
      <c r="BC71" s="24"/>
      <c r="BG71" s="147" t="s">
        <v>4</v>
      </c>
      <c r="BH71" s="52">
        <f>Q63/1000</f>
        <v>12.656369260417826</v>
      </c>
      <c r="BI71" s="52">
        <f>AJ63/1000</f>
        <v>10.622411737384972</v>
      </c>
      <c r="BJ71" s="52">
        <f>BB63/1000</f>
        <v>0</v>
      </c>
      <c r="BK71" s="137">
        <f t="shared" ref="BK71:BK78" si="14">SUM(BI71:BJ71)/BL71</f>
        <v>0.45631305773217179</v>
      </c>
      <c r="BL71" s="52">
        <f t="shared" ref="BL71:BL78" si="15">SUM(BH71:BJ71)</f>
        <v>23.278780997802798</v>
      </c>
      <c r="BR71" s="317"/>
      <c r="BS71" s="317"/>
      <c r="BT71" s="317"/>
      <c r="BU71" s="317"/>
      <c r="BV71" s="317"/>
      <c r="BW71" s="317"/>
      <c r="BX71" s="317"/>
      <c r="BY71" s="317"/>
      <c r="BZ71" s="317"/>
      <c r="CA71" s="317"/>
      <c r="CB71" s="317"/>
      <c r="CC71" s="317"/>
    </row>
    <row r="72" spans="1:81">
      <c r="A72" s="699"/>
      <c r="B72" s="23"/>
      <c r="C72" s="17" t="s">
        <v>28</v>
      </c>
      <c r="D72" s="57"/>
      <c r="E72" s="2"/>
      <c r="F72" s="2"/>
      <c r="G72" s="63"/>
      <c r="H72" s="2"/>
      <c r="I72" s="20"/>
      <c r="J72" s="725"/>
      <c r="K72" s="21"/>
      <c r="L72" s="22"/>
      <c r="M72" s="2"/>
      <c r="N72" s="23"/>
      <c r="O72" s="19"/>
      <c r="P72" s="19"/>
      <c r="Q72" s="19"/>
      <c r="R72" s="33"/>
      <c r="T72" s="201"/>
      <c r="U72" s="2"/>
      <c r="V72" s="2"/>
      <c r="W72" s="199"/>
      <c r="X72" s="198"/>
      <c r="Y72" s="198"/>
      <c r="Z72" s="198"/>
      <c r="AA72" s="274"/>
      <c r="AB72" s="21"/>
      <c r="AC72" s="301">
        <f>($AC$97-$AC$69-$AC$84)*'[2]C&amp;I composn'!D$81</f>
        <v>2957.4884504124916</v>
      </c>
      <c r="AD72" s="21"/>
      <c r="AE72" s="21"/>
      <c r="AF72" s="70"/>
      <c r="AG72" s="20"/>
      <c r="AH72" s="21"/>
      <c r="AI72" s="21"/>
      <c r="AJ72" s="22"/>
      <c r="AK72" s="29"/>
      <c r="AL72" s="19"/>
      <c r="AM72" s="57"/>
      <c r="AN72" s="2"/>
      <c r="AO72" s="2"/>
      <c r="AP72" s="63"/>
      <c r="AQ72" s="68"/>
      <c r="AR72" s="21"/>
      <c r="AS72" s="21"/>
      <c r="AT72" s="21"/>
      <c r="AU72" s="240"/>
      <c r="AV72" s="19"/>
      <c r="AW72" s="195"/>
      <c r="AX72" s="2"/>
      <c r="AY72" s="238"/>
      <c r="BB72" s="19"/>
      <c r="BC72" s="24"/>
      <c r="BG72" s="147" t="s">
        <v>2</v>
      </c>
      <c r="BH72" s="52">
        <f>Q69/1000</f>
        <v>147.52742752279863</v>
      </c>
      <c r="BI72" s="52">
        <f>AJ69/1000</f>
        <v>40.411000000000001</v>
      </c>
      <c r="BJ72" s="52">
        <f>BB69/1000</f>
        <v>29.892159701372812</v>
      </c>
      <c r="BK72" s="137">
        <f t="shared" si="14"/>
        <v>0.32274236872447665</v>
      </c>
      <c r="BL72" s="52">
        <f t="shared" si="15"/>
        <v>217.83058722417144</v>
      </c>
      <c r="BR72" s="317"/>
      <c r="BS72" s="317"/>
      <c r="BT72" s="317"/>
      <c r="BU72" s="317"/>
      <c r="BV72" s="317"/>
      <c r="BW72" s="317"/>
      <c r="BX72" s="317"/>
      <c r="BY72" s="317"/>
      <c r="BZ72" s="317"/>
      <c r="CA72" s="317"/>
      <c r="CB72" s="317"/>
      <c r="CC72" s="317"/>
    </row>
    <row r="73" spans="1:81">
      <c r="A73" s="699"/>
      <c r="B73" s="23"/>
      <c r="C73" s="17" t="s">
        <v>29</v>
      </c>
      <c r="D73" s="57"/>
      <c r="E73" s="2"/>
      <c r="F73" s="2"/>
      <c r="G73" s="63"/>
      <c r="H73" s="2"/>
      <c r="I73" s="20"/>
      <c r="J73" s="21">
        <f>E97*'[2]C&amp;I composn'!$E$19</f>
        <v>13505.437636509336</v>
      </c>
      <c r="K73" s="21"/>
      <c r="L73" s="22"/>
      <c r="M73" s="2"/>
      <c r="N73" s="23"/>
      <c r="O73" s="19"/>
      <c r="P73" s="19"/>
      <c r="Q73" s="19"/>
      <c r="R73" s="33"/>
      <c r="T73" s="201"/>
      <c r="U73" s="2"/>
      <c r="V73" s="2"/>
      <c r="W73" s="199"/>
      <c r="X73" s="198"/>
      <c r="Y73" s="198"/>
      <c r="Z73" s="198"/>
      <c r="AA73" s="274"/>
      <c r="AB73" s="21"/>
      <c r="AC73" s="301">
        <f>($AC$97-$AC$69-$AC$84)*'[2]C&amp;I composn'!D$80</f>
        <v>7350.3358829780418</v>
      </c>
      <c r="AD73" s="21"/>
      <c r="AE73" s="21"/>
      <c r="AF73" s="70"/>
      <c r="AG73" s="20"/>
      <c r="AH73" s="21"/>
      <c r="AI73" s="21"/>
      <c r="AJ73" s="22"/>
      <c r="AK73" s="29"/>
      <c r="AL73" s="19"/>
      <c r="AM73" s="57"/>
      <c r="AN73" s="2"/>
      <c r="AO73" s="2"/>
      <c r="AP73" s="63"/>
      <c r="AQ73" s="68"/>
      <c r="AR73" s="21"/>
      <c r="AS73" s="21"/>
      <c r="AT73" s="21"/>
      <c r="AU73" s="240"/>
      <c r="AV73" s="19"/>
      <c r="AW73" s="195"/>
      <c r="AX73" s="2"/>
      <c r="AY73" s="238"/>
      <c r="BB73" s="19"/>
      <c r="BC73" s="24"/>
      <c r="BG73" s="147" t="s">
        <v>5</v>
      </c>
      <c r="BH73" s="52">
        <f>Q74/1000</f>
        <v>62.638748660999852</v>
      </c>
      <c r="BI73" s="52">
        <f>AJ74/1000</f>
        <v>70.6299268520211</v>
      </c>
      <c r="BJ73" s="52">
        <f>BB74/1000</f>
        <v>8.9313893589342968</v>
      </c>
      <c r="BK73" s="137">
        <f t="shared" si="14"/>
        <v>0.55950267169425538</v>
      </c>
      <c r="BL73" s="52">
        <f t="shared" si="15"/>
        <v>142.20006487195525</v>
      </c>
      <c r="BR73" s="317"/>
      <c r="BS73" s="317"/>
      <c r="BT73" s="317"/>
      <c r="BU73" s="317"/>
      <c r="BV73" s="317"/>
      <c r="BW73" s="317"/>
      <c r="BX73" s="317"/>
      <c r="BY73" s="317"/>
      <c r="BZ73" s="317"/>
      <c r="CA73" s="317"/>
      <c r="CB73" s="317"/>
      <c r="CC73" s="317"/>
    </row>
    <row r="74" spans="1:81" s="106" customFormat="1">
      <c r="A74" s="699"/>
      <c r="B74" s="107" t="s">
        <v>67</v>
      </c>
      <c r="C74" s="108"/>
      <c r="D74" s="109"/>
      <c r="E74" s="110"/>
      <c r="F74" s="110"/>
      <c r="G74" s="111"/>
      <c r="H74" s="110"/>
      <c r="I74" s="112">
        <f>D97*'[2]Lfill en &amp; composn'!B$136</f>
        <v>20669.09</v>
      </c>
      <c r="J74" s="113">
        <f>SUM(J70:J73)</f>
        <v>50073.468019934146</v>
      </c>
      <c r="K74" s="113">
        <f>F97*'[2]Lfill en &amp; composn'!C$136</f>
        <v>827.57999999999993</v>
      </c>
      <c r="L74" s="114">
        <f>SUM(I74:K74)</f>
        <v>71570.138019934151</v>
      </c>
      <c r="M74" s="110"/>
      <c r="N74" s="112"/>
      <c r="O74" s="113"/>
      <c r="P74" s="113"/>
      <c r="Q74" s="114">
        <f>L74-AT74</f>
        <v>62638.748660999852</v>
      </c>
      <c r="R74" s="115">
        <f>Q74/[2]Popn!$G$42*1000</f>
        <v>123.58768293325332</v>
      </c>
      <c r="T74" s="202">
        <f>SUM([2]TAS!$H$36:$H$37)</f>
        <v>41093</v>
      </c>
      <c r="U74" s="110"/>
      <c r="V74" s="110"/>
      <c r="W74" s="203"/>
      <c r="X74" s="130"/>
      <c r="Y74" s="130"/>
      <c r="Z74" s="130"/>
      <c r="AA74" s="276"/>
      <c r="AB74" s="113">
        <f>T74</f>
        <v>41093</v>
      </c>
      <c r="AC74" s="113">
        <f>SUM(AC70:AC73)</f>
        <v>29536.926852021097</v>
      </c>
      <c r="AD74" s="113"/>
      <c r="AE74" s="113">
        <f>SUM(AB74:AD74)</f>
        <v>70629.926852021104</v>
      </c>
      <c r="AF74" s="117"/>
      <c r="AG74" s="112">
        <f>AB74</f>
        <v>41093</v>
      </c>
      <c r="AH74" s="113">
        <f>AC74</f>
        <v>29536.926852021097</v>
      </c>
      <c r="AI74" s="113">
        <f>AD74</f>
        <v>0</v>
      </c>
      <c r="AJ74" s="114">
        <f>SUM(AG74:AI74)</f>
        <v>70629.926852021104</v>
      </c>
      <c r="AK74" s="118">
        <f>AJ74/[2]Popn!$G$42*1000</f>
        <v>139.35446017013595</v>
      </c>
      <c r="AL74" s="119"/>
      <c r="AM74" s="109"/>
      <c r="AN74" s="110"/>
      <c r="AO74" s="110"/>
      <c r="AP74" s="111"/>
      <c r="AQ74" s="117"/>
      <c r="AR74" s="113">
        <f>L74*'[2]Lfill en &amp; composn'!$D$17</f>
        <v>14027.747051907094</v>
      </c>
      <c r="AS74" s="123">
        <f>AR74/SUM($AR$54:$AR$96)</f>
        <v>0.39344763799264876</v>
      </c>
      <c r="AT74" s="113">
        <f>AS74*'[2]Lfill en &amp; composn'!$G$63/'[2]Lfill en &amp; composn'!$B$17</f>
        <v>8931.389358934297</v>
      </c>
      <c r="AU74" s="120">
        <f>$AT74*I74/SUM($I74:$K74)</f>
        <v>2579.3395903950659</v>
      </c>
      <c r="AV74" s="113">
        <f>$AT74*J74/SUM($I74:$K74)</f>
        <v>6248.7743046354417</v>
      </c>
      <c r="AW74" s="114">
        <f>$AT74*K74/SUM($I74:$K74)</f>
        <v>103.27546390378814</v>
      </c>
      <c r="AX74" s="110"/>
      <c r="AY74" s="241">
        <f>AU74</f>
        <v>2579.3395903950659</v>
      </c>
      <c r="AZ74" s="242">
        <f>AV74</f>
        <v>6248.7743046354417</v>
      </c>
      <c r="BA74" s="242">
        <f>AW74</f>
        <v>103.27546390378814</v>
      </c>
      <c r="BB74" s="114">
        <f>AT74+AP74</f>
        <v>8931.389358934297</v>
      </c>
      <c r="BC74" s="118">
        <f>BB74/[2]Popn!$G$42*1000</f>
        <v>17.621835362950968</v>
      </c>
      <c r="BD74" s="122"/>
      <c r="BG74" s="147" t="s">
        <v>6</v>
      </c>
      <c r="BH74" s="52">
        <f>Q84/1000</f>
        <v>45.854164317769964</v>
      </c>
      <c r="BI74" s="52">
        <f>AJ84/1000</f>
        <v>2.1629999999999998</v>
      </c>
      <c r="BJ74" s="52">
        <f>BB84/1000</f>
        <v>0</v>
      </c>
      <c r="BK74" s="137">
        <f t="shared" si="14"/>
        <v>4.5046391862826586E-2</v>
      </c>
      <c r="BL74" s="52">
        <f t="shared" si="15"/>
        <v>48.017164317769961</v>
      </c>
      <c r="BM74" s="6"/>
      <c r="BN74" s="6"/>
      <c r="BO74" s="6"/>
      <c r="BR74" s="314"/>
      <c r="BS74" s="314"/>
      <c r="BT74" s="317"/>
      <c r="BU74" s="317"/>
      <c r="BV74" s="317"/>
      <c r="BW74" s="317"/>
      <c r="BX74" s="317"/>
      <c r="BY74" s="317"/>
      <c r="BZ74" s="317"/>
      <c r="CA74" s="317"/>
      <c r="CB74" s="317"/>
      <c r="CC74" s="314"/>
    </row>
    <row r="75" spans="1:81">
      <c r="A75" s="699"/>
      <c r="B75" s="23" t="s">
        <v>6</v>
      </c>
      <c r="C75" s="17" t="s">
        <v>30</v>
      </c>
      <c r="D75" s="57"/>
      <c r="E75" s="2"/>
      <c r="F75" s="2"/>
      <c r="G75" s="63"/>
      <c r="H75" s="2"/>
      <c r="I75" s="20"/>
      <c r="J75" s="21"/>
      <c r="K75" s="21"/>
      <c r="L75" s="22"/>
      <c r="M75" s="2"/>
      <c r="N75" s="23"/>
      <c r="O75" s="19"/>
      <c r="P75" s="19"/>
      <c r="Q75" s="19"/>
      <c r="R75" s="33"/>
      <c r="T75" s="201"/>
      <c r="U75" s="2"/>
      <c r="V75" s="2"/>
      <c r="W75" s="199"/>
      <c r="X75" s="198"/>
      <c r="Y75" s="198"/>
      <c r="Z75" s="198"/>
      <c r="AA75" s="274"/>
      <c r="AB75" s="21"/>
      <c r="AC75" s="21"/>
      <c r="AD75" s="21"/>
      <c r="AE75" s="21"/>
      <c r="AF75" s="70"/>
      <c r="AG75" s="20"/>
      <c r="AH75" s="21"/>
      <c r="AI75" s="21"/>
      <c r="AJ75" s="22"/>
      <c r="AK75" s="29"/>
      <c r="AL75" s="19"/>
      <c r="AM75" s="57"/>
      <c r="AN75" s="2"/>
      <c r="AO75" s="2"/>
      <c r="AP75" s="63"/>
      <c r="AQ75" s="68"/>
      <c r="AR75" s="21"/>
      <c r="AS75" s="21"/>
      <c r="AT75" s="21"/>
      <c r="AU75" s="240"/>
      <c r="AV75" s="19"/>
      <c r="AW75" s="195"/>
      <c r="AX75" s="2"/>
      <c r="AY75" s="238"/>
      <c r="BB75" s="19"/>
      <c r="BC75" s="24"/>
      <c r="BG75" s="147" t="s">
        <v>8</v>
      </c>
      <c r="BH75" s="52">
        <f>Q85/1000</f>
        <v>9.6568871693132898</v>
      </c>
      <c r="BI75" s="52">
        <f>AJ85/1000</f>
        <v>10.548106161421471</v>
      </c>
      <c r="BJ75" s="52">
        <f>BB85/1000</f>
        <v>0</v>
      </c>
      <c r="BK75" s="137">
        <f t="shared" si="14"/>
        <v>0.52205442430788895</v>
      </c>
      <c r="BL75" s="52">
        <f t="shared" si="15"/>
        <v>20.204993330734759</v>
      </c>
      <c r="BR75" s="317"/>
      <c r="BS75" s="317"/>
      <c r="BT75" s="317"/>
      <c r="BU75" s="317"/>
      <c r="BV75" s="317"/>
      <c r="BW75" s="317"/>
      <c r="BX75" s="317"/>
      <c r="BY75" s="317"/>
      <c r="BZ75" s="317"/>
      <c r="CA75" s="317"/>
      <c r="CB75" s="317"/>
      <c r="CC75" s="317"/>
    </row>
    <row r="76" spans="1:81">
      <c r="A76" s="699"/>
      <c r="B76" s="23"/>
      <c r="C76" s="17" t="s">
        <v>31</v>
      </c>
      <c r="D76" s="57"/>
      <c r="E76" s="2"/>
      <c r="F76" s="2"/>
      <c r="G76" s="63"/>
      <c r="H76" s="2"/>
      <c r="I76" s="20"/>
      <c r="J76" s="21"/>
      <c r="K76" s="21"/>
      <c r="L76" s="22"/>
      <c r="M76" s="2"/>
      <c r="N76" s="23"/>
      <c r="O76" s="19"/>
      <c r="P76" s="19"/>
      <c r="Q76" s="19"/>
      <c r="R76" s="33"/>
      <c r="T76" s="201"/>
      <c r="U76" s="2"/>
      <c r="V76" s="2"/>
      <c r="W76" s="199"/>
      <c r="X76" s="198"/>
      <c r="Y76" s="198"/>
      <c r="Z76" s="198"/>
      <c r="AA76" s="274"/>
      <c r="AB76" s="21"/>
      <c r="AC76" s="21"/>
      <c r="AD76" s="21"/>
      <c r="AE76" s="21"/>
      <c r="AF76" s="70"/>
      <c r="AG76" s="20"/>
      <c r="AH76" s="21"/>
      <c r="AI76" s="21"/>
      <c r="AJ76" s="22"/>
      <c r="AK76" s="29"/>
      <c r="AL76" s="19"/>
      <c r="AM76" s="57"/>
      <c r="AN76" s="2"/>
      <c r="AO76" s="2"/>
      <c r="AP76" s="63"/>
      <c r="AQ76" s="68"/>
      <c r="AR76" s="21"/>
      <c r="AS76" s="21"/>
      <c r="AT76" s="21"/>
      <c r="AU76" s="240"/>
      <c r="AV76" s="19"/>
      <c r="AW76" s="195"/>
      <c r="AX76" s="2"/>
      <c r="AY76" s="238"/>
      <c r="BB76" s="19"/>
      <c r="BC76" s="24"/>
      <c r="BG76" s="147" t="s">
        <v>7</v>
      </c>
      <c r="BH76" s="52">
        <f>Q88/1000</f>
        <v>8.9927151682094024</v>
      </c>
      <c r="BI76" s="52">
        <f>AJ88/1000</f>
        <v>0.42366693623836832</v>
      </c>
      <c r="BJ76" s="52">
        <f>BB88/1000</f>
        <v>1.1451224528653476</v>
      </c>
      <c r="BK76" s="137">
        <f t="shared" si="14"/>
        <v>0.14853843792714522</v>
      </c>
      <c r="BL76" s="52">
        <f t="shared" si="15"/>
        <v>10.561504557313118</v>
      </c>
      <c r="BR76" s="317"/>
      <c r="BS76" s="317"/>
      <c r="BT76" s="325"/>
      <c r="BU76" s="317"/>
      <c r="BV76" s="317"/>
      <c r="BW76" s="317"/>
      <c r="BX76" s="317"/>
      <c r="BY76" s="317"/>
      <c r="BZ76" s="317"/>
      <c r="CA76" s="317"/>
      <c r="CB76" s="317"/>
      <c r="CC76" s="317"/>
    </row>
    <row r="77" spans="1:81">
      <c r="A77" s="699"/>
      <c r="B77" s="23"/>
      <c r="C77" s="17" t="s">
        <v>32</v>
      </c>
      <c r="D77" s="57"/>
      <c r="E77" s="2"/>
      <c r="F77" s="2"/>
      <c r="G77" s="63"/>
      <c r="H77" s="2"/>
      <c r="I77" s="20"/>
      <c r="J77" s="21"/>
      <c r="K77" s="21"/>
      <c r="L77" s="22"/>
      <c r="M77" s="2"/>
      <c r="N77" s="23"/>
      <c r="O77" s="19"/>
      <c r="P77" s="19"/>
      <c r="Q77" s="19"/>
      <c r="R77" s="33"/>
      <c r="T77" s="201"/>
      <c r="U77" s="2"/>
      <c r="V77" s="2"/>
      <c r="W77" s="199"/>
      <c r="X77" s="198"/>
      <c r="Y77" s="198"/>
      <c r="Z77" s="198"/>
      <c r="AA77" s="274"/>
      <c r="AB77" s="21"/>
      <c r="AC77" s="21"/>
      <c r="AD77" s="21"/>
      <c r="AE77" s="21"/>
      <c r="AF77" s="70"/>
      <c r="AG77" s="20"/>
      <c r="AH77" s="21"/>
      <c r="AI77" s="21"/>
      <c r="AJ77" s="22"/>
      <c r="AK77" s="29"/>
      <c r="AL77" s="19"/>
      <c r="AM77" s="57"/>
      <c r="AN77" s="2"/>
      <c r="AO77" s="2"/>
      <c r="AP77" s="63"/>
      <c r="AQ77" s="68"/>
      <c r="AR77" s="21"/>
      <c r="AS77" s="21"/>
      <c r="AT77" s="21"/>
      <c r="AU77" s="240"/>
      <c r="AV77" s="19"/>
      <c r="AW77" s="195"/>
      <c r="AX77" s="2"/>
      <c r="AY77" s="238"/>
      <c r="BB77" s="19"/>
      <c r="BC77" s="24"/>
      <c r="BG77" s="147" t="s">
        <v>11</v>
      </c>
      <c r="BH77" s="52">
        <f>Q93/1000</f>
        <v>29.119725846958019</v>
      </c>
      <c r="BI77" s="52">
        <f>AJ93/1000</f>
        <v>0</v>
      </c>
      <c r="BJ77" s="52">
        <f>BB93/1000</f>
        <v>0</v>
      </c>
      <c r="BK77" s="137">
        <f t="shared" si="14"/>
        <v>0</v>
      </c>
      <c r="BL77" s="52">
        <f t="shared" si="15"/>
        <v>29.119725846958019</v>
      </c>
      <c r="BR77" s="317"/>
      <c r="BS77" s="317"/>
      <c r="BT77" s="326"/>
      <c r="BU77" s="325"/>
      <c r="BV77" s="317"/>
      <c r="BW77" s="317"/>
      <c r="BX77" s="317"/>
      <c r="BY77" s="317"/>
      <c r="BZ77" s="317"/>
      <c r="CA77" s="317"/>
      <c r="CB77" s="317"/>
      <c r="CC77" s="317"/>
    </row>
    <row r="78" spans="1:81" s="90" customFormat="1">
      <c r="A78" s="699"/>
      <c r="B78" s="91" t="s">
        <v>42</v>
      </c>
      <c r="C78" s="92"/>
      <c r="D78" s="93"/>
      <c r="E78" s="94"/>
      <c r="F78" s="94"/>
      <c r="G78" s="95"/>
      <c r="H78" s="94"/>
      <c r="I78" s="96"/>
      <c r="J78" s="97"/>
      <c r="K78" s="97"/>
      <c r="L78" s="98"/>
      <c r="M78" s="94"/>
      <c r="N78" s="96"/>
      <c r="O78" s="97"/>
      <c r="P78" s="97"/>
      <c r="Q78" s="97"/>
      <c r="R78" s="99"/>
      <c r="T78" s="292"/>
      <c r="U78" s="94"/>
      <c r="V78" s="94"/>
      <c r="W78" s="211"/>
      <c r="X78" s="289"/>
      <c r="Y78" s="289"/>
      <c r="Z78" s="289"/>
      <c r="AA78" s="280"/>
      <c r="AB78" s="97"/>
      <c r="AC78" s="97"/>
      <c r="AD78" s="97"/>
      <c r="AE78" s="97"/>
      <c r="AF78" s="101"/>
      <c r="AG78" s="96"/>
      <c r="AH78" s="97"/>
      <c r="AI78" s="97"/>
      <c r="AJ78" s="98"/>
      <c r="AK78" s="102"/>
      <c r="AL78" s="103"/>
      <c r="AM78" s="93"/>
      <c r="AN78" s="94"/>
      <c r="AO78" s="94"/>
      <c r="AP78" s="95"/>
      <c r="AQ78" s="100"/>
      <c r="AR78" s="97"/>
      <c r="AS78" s="128"/>
      <c r="AT78" s="128"/>
      <c r="AU78" s="104"/>
      <c r="AV78" s="97"/>
      <c r="AW78" s="98"/>
      <c r="AX78" s="94"/>
      <c r="AY78" s="239"/>
      <c r="BB78" s="97"/>
      <c r="BC78" s="105"/>
      <c r="BG78" s="147" t="s">
        <v>1</v>
      </c>
      <c r="BH78" s="52">
        <f>Q94/1000</f>
        <v>0</v>
      </c>
      <c r="BI78" s="52">
        <f>AJ94/1000</f>
        <v>0</v>
      </c>
      <c r="BJ78" s="52">
        <f>BB94/1000</f>
        <v>0</v>
      </c>
      <c r="BK78" s="137" t="e">
        <f t="shared" si="14"/>
        <v>#DIV/0!</v>
      </c>
      <c r="BL78" s="52">
        <f t="shared" si="15"/>
        <v>0</v>
      </c>
      <c r="BM78" s="6"/>
      <c r="BN78" s="6"/>
      <c r="BO78" s="6"/>
      <c r="BR78" s="334"/>
      <c r="BS78" s="334"/>
      <c r="BT78" s="328"/>
      <c r="BU78" s="326"/>
      <c r="BV78" s="317"/>
      <c r="BW78" s="317"/>
      <c r="BX78" s="317"/>
      <c r="BY78" s="317"/>
      <c r="BZ78" s="317"/>
      <c r="CA78" s="317"/>
      <c r="CB78" s="317"/>
      <c r="CC78" s="334"/>
    </row>
    <row r="79" spans="1:81">
      <c r="A79" s="699"/>
      <c r="B79" s="23"/>
      <c r="C79" s="17" t="s">
        <v>33</v>
      </c>
      <c r="D79" s="57"/>
      <c r="E79" s="2"/>
      <c r="F79" s="2"/>
      <c r="G79" s="63"/>
      <c r="H79" s="2"/>
      <c r="I79" s="20"/>
      <c r="J79" s="21"/>
      <c r="K79" s="21"/>
      <c r="L79" s="22"/>
      <c r="M79" s="2"/>
      <c r="N79" s="23"/>
      <c r="O79" s="19"/>
      <c r="P79" s="19"/>
      <c r="Q79" s="19"/>
      <c r="R79" s="33"/>
      <c r="T79" s="201"/>
      <c r="U79" s="2"/>
      <c r="V79" s="2"/>
      <c r="W79" s="199"/>
      <c r="X79" s="198"/>
      <c r="Y79" s="198"/>
      <c r="Z79" s="198"/>
      <c r="AA79" s="274"/>
      <c r="AB79" s="21"/>
      <c r="AC79" s="21"/>
      <c r="AD79" s="21"/>
      <c r="AE79" s="21"/>
      <c r="AF79" s="70"/>
      <c r="AG79" s="20"/>
      <c r="AH79" s="21"/>
      <c r="AI79" s="21"/>
      <c r="AJ79" s="22"/>
      <c r="AK79" s="29"/>
      <c r="AL79" s="19"/>
      <c r="AM79" s="57"/>
      <c r="AN79" s="2"/>
      <c r="AO79" s="2"/>
      <c r="AP79" s="63"/>
      <c r="AQ79" s="68"/>
      <c r="AR79" s="21"/>
      <c r="AS79" s="21"/>
      <c r="AT79" s="21"/>
      <c r="AU79" s="240"/>
      <c r="AV79" s="19"/>
      <c r="AW79" s="195"/>
      <c r="AX79" s="2"/>
      <c r="AY79" s="238"/>
      <c r="BB79" s="19"/>
      <c r="BC79" s="24"/>
      <c r="BG79" s="142"/>
      <c r="BR79" s="317"/>
      <c r="BS79" s="317"/>
      <c r="BT79" s="328"/>
      <c r="BU79" s="329"/>
      <c r="BV79" s="317"/>
      <c r="BW79" s="317"/>
      <c r="BX79" s="317"/>
      <c r="BY79" s="317"/>
      <c r="BZ79" s="317"/>
      <c r="CA79" s="317"/>
      <c r="CB79" s="317"/>
      <c r="CC79" s="317"/>
    </row>
    <row r="80" spans="1:81">
      <c r="A80" s="699"/>
      <c r="B80" s="23"/>
      <c r="C80" s="17" t="s">
        <v>34</v>
      </c>
      <c r="D80" s="57"/>
      <c r="E80" s="2"/>
      <c r="F80" s="2"/>
      <c r="G80" s="63"/>
      <c r="H80" s="2"/>
      <c r="I80" s="20"/>
      <c r="J80" s="21"/>
      <c r="K80" s="21"/>
      <c r="L80" s="22"/>
      <c r="M80" s="2"/>
      <c r="N80" s="23"/>
      <c r="O80" s="19"/>
      <c r="P80" s="19"/>
      <c r="Q80" s="19"/>
      <c r="R80" s="33"/>
      <c r="T80" s="201"/>
      <c r="U80" s="2"/>
      <c r="V80" s="2"/>
      <c r="W80" s="199"/>
      <c r="X80" s="198"/>
      <c r="Y80" s="198"/>
      <c r="Z80" s="198"/>
      <c r="AA80" s="274"/>
      <c r="AB80" s="21"/>
      <c r="AC80" s="21"/>
      <c r="AD80" s="21"/>
      <c r="AE80" s="21"/>
      <c r="AF80" s="70"/>
      <c r="AG80" s="20"/>
      <c r="AH80" s="21"/>
      <c r="AI80" s="21"/>
      <c r="AJ80" s="22"/>
      <c r="AK80" s="29"/>
      <c r="AL80" s="19"/>
      <c r="AM80" s="57"/>
      <c r="AN80" s="2"/>
      <c r="AO80" s="2"/>
      <c r="AP80" s="63"/>
      <c r="AQ80" s="68"/>
      <c r="AR80" s="21"/>
      <c r="AS80" s="21"/>
      <c r="AT80" s="21"/>
      <c r="AU80" s="240"/>
      <c r="AV80" s="19"/>
      <c r="AW80" s="195"/>
      <c r="AX80" s="2"/>
      <c r="AY80" s="238"/>
      <c r="BB80" s="19"/>
      <c r="BC80" s="24"/>
      <c r="BR80" s="317"/>
      <c r="BS80" s="317"/>
      <c r="BT80" s="317"/>
      <c r="BU80" s="329"/>
      <c r="BV80" s="317"/>
      <c r="BW80" s="317"/>
      <c r="BX80" s="317"/>
      <c r="BY80" s="317"/>
      <c r="BZ80" s="317"/>
      <c r="CA80" s="317"/>
      <c r="CB80" s="317"/>
      <c r="CC80" s="317"/>
    </row>
    <row r="81" spans="1:81">
      <c r="A81" s="699"/>
      <c r="B81" s="23"/>
      <c r="C81" s="17" t="s">
        <v>35</v>
      </c>
      <c r="D81" s="57"/>
      <c r="E81" s="2"/>
      <c r="F81" s="2"/>
      <c r="G81" s="63"/>
      <c r="H81" s="2"/>
      <c r="I81" s="20"/>
      <c r="J81" s="21"/>
      <c r="K81" s="21"/>
      <c r="L81" s="22"/>
      <c r="M81" s="2"/>
      <c r="N81" s="23"/>
      <c r="O81" s="19"/>
      <c r="P81" s="19"/>
      <c r="Q81" s="19"/>
      <c r="R81" s="33"/>
      <c r="T81" s="201"/>
      <c r="U81" s="2"/>
      <c r="V81" s="2"/>
      <c r="W81" s="199"/>
      <c r="X81" s="198"/>
      <c r="Y81" s="198"/>
      <c r="Z81" s="198"/>
      <c r="AA81" s="274"/>
      <c r="AB81" s="21"/>
      <c r="AC81" s="21"/>
      <c r="AD81" s="21"/>
      <c r="AE81" s="21"/>
      <c r="AF81" s="70"/>
      <c r="AG81" s="20"/>
      <c r="AH81" s="21"/>
      <c r="AI81" s="21"/>
      <c r="AJ81" s="22"/>
      <c r="AK81" s="29"/>
      <c r="AL81" s="19"/>
      <c r="AM81" s="57"/>
      <c r="AN81" s="2"/>
      <c r="AO81" s="2"/>
      <c r="AP81" s="63"/>
      <c r="AQ81" s="68"/>
      <c r="AR81" s="21"/>
      <c r="AS81" s="21"/>
      <c r="AT81" s="21"/>
      <c r="AU81" s="240"/>
      <c r="AV81" s="19"/>
      <c r="AW81" s="195"/>
      <c r="AX81" s="2"/>
      <c r="AY81" s="238"/>
      <c r="BB81" s="19"/>
      <c r="BC81" s="24"/>
      <c r="BR81" s="317"/>
      <c r="BS81" s="317"/>
      <c r="BT81" s="314"/>
      <c r="BU81" s="317"/>
      <c r="BV81" s="317"/>
      <c r="BW81" s="317"/>
      <c r="BX81" s="317"/>
      <c r="BY81" s="317"/>
      <c r="BZ81" s="317"/>
      <c r="CA81" s="317"/>
      <c r="CB81" s="317"/>
      <c r="CC81" s="317"/>
    </row>
    <row r="82" spans="1:81">
      <c r="A82" s="699"/>
      <c r="B82" s="23"/>
      <c r="C82" s="17" t="s">
        <v>36</v>
      </c>
      <c r="D82" s="57"/>
      <c r="E82" s="2"/>
      <c r="F82" s="2"/>
      <c r="G82" s="63"/>
      <c r="H82" s="2"/>
      <c r="I82" s="20"/>
      <c r="J82" s="21"/>
      <c r="K82" s="21"/>
      <c r="L82" s="22"/>
      <c r="M82" s="2"/>
      <c r="N82" s="23"/>
      <c r="O82" s="19"/>
      <c r="P82" s="19"/>
      <c r="Q82" s="19"/>
      <c r="R82" s="33"/>
      <c r="T82" s="201"/>
      <c r="U82" s="2"/>
      <c r="V82" s="2"/>
      <c r="W82" s="199"/>
      <c r="X82" s="198"/>
      <c r="Y82" s="198"/>
      <c r="Z82" s="198"/>
      <c r="AA82" s="274"/>
      <c r="AB82" s="21"/>
      <c r="AC82" s="21"/>
      <c r="AD82" s="21"/>
      <c r="AE82" s="21"/>
      <c r="AF82" s="70"/>
      <c r="AG82" s="20"/>
      <c r="AH82" s="21"/>
      <c r="AI82" s="21"/>
      <c r="AJ82" s="22"/>
      <c r="AK82" s="29"/>
      <c r="AL82" s="19"/>
      <c r="AM82" s="57"/>
      <c r="AN82" s="2"/>
      <c r="AO82" s="2"/>
      <c r="AP82" s="63"/>
      <c r="AQ82" s="68"/>
      <c r="AR82" s="21"/>
      <c r="AS82" s="21"/>
      <c r="AT82" s="21"/>
      <c r="AU82" s="240"/>
      <c r="AV82" s="19"/>
      <c r="AW82" s="195"/>
      <c r="AX82" s="2"/>
      <c r="AY82" s="238"/>
      <c r="BB82" s="19"/>
      <c r="BC82" s="24"/>
      <c r="BR82" s="317"/>
      <c r="BS82" s="317"/>
      <c r="BT82" s="317"/>
      <c r="BU82" s="314"/>
      <c r="BV82" s="314"/>
      <c r="BW82" s="314"/>
      <c r="BX82" s="314"/>
      <c r="BY82" s="314"/>
      <c r="BZ82" s="314"/>
      <c r="CA82" s="314"/>
      <c r="CB82" s="314"/>
      <c r="CC82" s="317"/>
    </row>
    <row r="83" spans="1:81" s="90" customFormat="1">
      <c r="A83" s="699"/>
      <c r="B83" s="91" t="s">
        <v>43</v>
      </c>
      <c r="C83" s="92"/>
      <c r="D83" s="93"/>
      <c r="E83" s="94"/>
      <c r="F83" s="94"/>
      <c r="G83" s="95"/>
      <c r="H83" s="94"/>
      <c r="I83" s="96"/>
      <c r="J83" s="97"/>
      <c r="K83" s="97"/>
      <c r="L83" s="98"/>
      <c r="M83" s="94"/>
      <c r="N83" s="96"/>
      <c r="O83" s="97"/>
      <c r="P83" s="97"/>
      <c r="Q83" s="97"/>
      <c r="R83" s="99"/>
      <c r="T83" s="292"/>
      <c r="U83" s="94"/>
      <c r="V83" s="94"/>
      <c r="W83" s="211"/>
      <c r="X83" s="289"/>
      <c r="Y83" s="289"/>
      <c r="Z83" s="289"/>
      <c r="AA83" s="280"/>
      <c r="AB83" s="97"/>
      <c r="AC83" s="97"/>
      <c r="AD83" s="97"/>
      <c r="AE83" s="97"/>
      <c r="AF83" s="101"/>
      <c r="AG83" s="96"/>
      <c r="AH83" s="97"/>
      <c r="AI83" s="97"/>
      <c r="AJ83" s="98"/>
      <c r="AK83" s="102"/>
      <c r="AL83" s="103"/>
      <c r="AM83" s="93"/>
      <c r="AN83" s="94"/>
      <c r="AO83" s="94"/>
      <c r="AP83" s="95"/>
      <c r="AQ83" s="100"/>
      <c r="AR83" s="97"/>
      <c r="AS83" s="97"/>
      <c r="AT83" s="97"/>
      <c r="AU83" s="104"/>
      <c r="AV83" s="97"/>
      <c r="AW83" s="98"/>
      <c r="AX83" s="94"/>
      <c r="AY83" s="239"/>
      <c r="BB83" s="97"/>
      <c r="BC83" s="105"/>
      <c r="BG83" s="143"/>
      <c r="BR83" s="334"/>
      <c r="BS83" s="334"/>
      <c r="BT83" s="317"/>
      <c r="BU83" s="317"/>
      <c r="BV83" s="317"/>
      <c r="BW83" s="317"/>
      <c r="BX83" s="317"/>
      <c r="BY83" s="317"/>
      <c r="BZ83" s="317"/>
      <c r="CA83" s="317"/>
      <c r="CB83" s="317"/>
      <c r="CC83" s="334"/>
    </row>
    <row r="84" spans="1:81" s="106" customFormat="1">
      <c r="A84" s="699"/>
      <c r="B84" s="107" t="s">
        <v>67</v>
      </c>
      <c r="C84" s="108"/>
      <c r="D84" s="109"/>
      <c r="E84" s="110"/>
      <c r="F84" s="110"/>
      <c r="G84" s="111"/>
      <c r="H84" s="110"/>
      <c r="I84" s="112">
        <f>D97*'[2]Lfill en &amp; composn'!B$137</f>
        <v>20565.070152549539</v>
      </c>
      <c r="J84" s="113">
        <f>E97*SUM('[2]C&amp;I composn'!$E$21:$E$22)</f>
        <v>24470.748483257175</v>
      </c>
      <c r="K84" s="113">
        <f>F97*'[2]Lfill en &amp; composn'!C$137</f>
        <v>818.34568196325154</v>
      </c>
      <c r="L84" s="114">
        <f>SUM(I84:K84)</f>
        <v>45854.164317769966</v>
      </c>
      <c r="M84" s="110"/>
      <c r="N84" s="112"/>
      <c r="O84" s="113"/>
      <c r="P84" s="113"/>
      <c r="Q84" s="114">
        <f>L84</f>
        <v>45854.164317769966</v>
      </c>
      <c r="R84" s="115">
        <f>Q84/[2]Popn!$G$42*1000</f>
        <v>90.471314354372595</v>
      </c>
      <c r="T84" s="202"/>
      <c r="U84" s="130"/>
      <c r="V84" s="130"/>
      <c r="W84" s="203"/>
      <c r="X84" s="130"/>
      <c r="Y84" s="130"/>
      <c r="Z84" s="130"/>
      <c r="AA84" s="285">
        <f>[2]PACIA!$C$42</f>
        <v>2163</v>
      </c>
      <c r="AB84" s="113">
        <f>$AA84*[2]PACIA!I42</f>
        <v>460.71899999999994</v>
      </c>
      <c r="AC84" s="113">
        <f>$AA84*[2]PACIA!N42</f>
        <v>1702.2810000000002</v>
      </c>
      <c r="AD84" s="113">
        <f>$AA84*[2]PACIA!O42</f>
        <v>0</v>
      </c>
      <c r="AE84" s="113">
        <f>SUM(AB84:AD84)</f>
        <v>2163</v>
      </c>
      <c r="AF84" s="117"/>
      <c r="AG84" s="112">
        <f t="shared" ref="AG84:AI85" si="16">AB84</f>
        <v>460.71899999999994</v>
      </c>
      <c r="AH84" s="113">
        <f t="shared" si="16"/>
        <v>1702.2810000000002</v>
      </c>
      <c r="AI84" s="113">
        <f t="shared" si="16"/>
        <v>0</v>
      </c>
      <c r="AJ84" s="114">
        <f>SUM(AG84:AI84)</f>
        <v>2163</v>
      </c>
      <c r="AK84" s="118">
        <f>AJ84/[2]Popn!$G$42*1000</f>
        <v>4.2676484428410344</v>
      </c>
      <c r="AL84" s="119"/>
      <c r="AM84" s="109"/>
      <c r="AN84" s="110"/>
      <c r="AO84" s="110"/>
      <c r="AP84" s="111"/>
      <c r="AQ84" s="116"/>
      <c r="AR84" s="113"/>
      <c r="AS84" s="113"/>
      <c r="AT84" s="113"/>
      <c r="AU84" s="120"/>
      <c r="AV84" s="113"/>
      <c r="AW84" s="114"/>
      <c r="AX84" s="110"/>
      <c r="AY84" s="237"/>
      <c r="BB84" s="113"/>
      <c r="BC84" s="118">
        <f>BB84/[2]Popn!$G$42*1000</f>
        <v>0</v>
      </c>
      <c r="BG84" s="144"/>
      <c r="BR84" s="314"/>
      <c r="BS84" s="314"/>
      <c r="BT84" s="317"/>
      <c r="BU84" s="317"/>
      <c r="BV84" s="317"/>
      <c r="BW84" s="317"/>
      <c r="BX84" s="317"/>
      <c r="BY84" s="317"/>
      <c r="BZ84" s="317"/>
      <c r="CA84" s="317"/>
      <c r="CB84" s="317"/>
      <c r="CC84" s="314"/>
    </row>
    <row r="85" spans="1:81" s="106" customFormat="1">
      <c r="A85" s="699"/>
      <c r="B85" s="37" t="s">
        <v>8</v>
      </c>
      <c r="C85" s="129" t="s">
        <v>8</v>
      </c>
      <c r="D85" s="109"/>
      <c r="E85" s="110"/>
      <c r="F85" s="110"/>
      <c r="G85" s="111"/>
      <c r="H85" s="110"/>
      <c r="I85" s="112">
        <f>D97*'[2]Lfill en &amp; composn'!B$138</f>
        <v>7683.5868018653464</v>
      </c>
      <c r="J85" s="113">
        <f>E97*SUM('[2]C&amp;I composn'!$E$23:$E$24)</f>
        <v>1797.9497356888965</v>
      </c>
      <c r="K85" s="113">
        <f>F97*'[2]Lfill en &amp; composn'!C$138</f>
        <v>175.35063175904685</v>
      </c>
      <c r="L85" s="114">
        <f>SUM(I85:K85)</f>
        <v>9656.8871693132896</v>
      </c>
      <c r="M85" s="110"/>
      <c r="N85" s="112"/>
      <c r="O85" s="113"/>
      <c r="P85" s="113"/>
      <c r="Q85" s="114">
        <f>L85</f>
        <v>9656.8871693132896</v>
      </c>
      <c r="R85" s="115">
        <f>Q85/[2]Popn!$G$42*1000</f>
        <v>19.053259126588731</v>
      </c>
      <c r="T85" s="202">
        <f>[2]TAS!$H$38</f>
        <v>8810</v>
      </c>
      <c r="U85" s="110"/>
      <c r="V85" s="110"/>
      <c r="W85" s="203"/>
      <c r="X85" s="198"/>
      <c r="Y85" s="198"/>
      <c r="Z85" s="198"/>
      <c r="AA85" s="276"/>
      <c r="AB85" s="113">
        <f>T85</f>
        <v>8810</v>
      </c>
      <c r="AC85" s="113">
        <f>($AC$97-$AC$69-$AC$84)*'[2]C&amp;I composn'!D$83</f>
        <v>1738.1061614214696</v>
      </c>
      <c r="AD85" s="113"/>
      <c r="AE85" s="113">
        <f>SUM(AB85:AD85)</f>
        <v>10548.10616142147</v>
      </c>
      <c r="AF85" s="117"/>
      <c r="AG85" s="112">
        <f t="shared" si="16"/>
        <v>8810</v>
      </c>
      <c r="AH85" s="113">
        <f t="shared" si="16"/>
        <v>1738.1061614214696</v>
      </c>
      <c r="AI85" s="113">
        <f t="shared" si="16"/>
        <v>0</v>
      </c>
      <c r="AJ85" s="114">
        <f>SUM(AG85:AI85)</f>
        <v>10548.10616142147</v>
      </c>
      <c r="AK85" s="118">
        <f>AJ85/[2]Popn!$G$42*1000</f>
        <v>20.81165456990858</v>
      </c>
      <c r="AL85" s="119"/>
      <c r="AM85" s="109"/>
      <c r="AN85" s="110"/>
      <c r="AO85" s="110"/>
      <c r="AP85" s="111"/>
      <c r="AQ85" s="116"/>
      <c r="AR85" s="113"/>
      <c r="AS85" s="113"/>
      <c r="AT85" s="113"/>
      <c r="AU85" s="120"/>
      <c r="AV85" s="113"/>
      <c r="AW85" s="114"/>
      <c r="AX85" s="110"/>
      <c r="AY85" s="237"/>
      <c r="BB85" s="113"/>
      <c r="BC85" s="121"/>
      <c r="BG85" s="144"/>
      <c r="BR85" s="314"/>
      <c r="BS85" s="314"/>
      <c r="BT85" s="314"/>
      <c r="BU85" s="317"/>
      <c r="BV85" s="317"/>
      <c r="BW85" s="317"/>
      <c r="BX85" s="317"/>
      <c r="BY85" s="317"/>
      <c r="BZ85" s="317"/>
      <c r="CA85" s="317"/>
      <c r="CB85" s="317"/>
      <c r="CC85" s="314"/>
    </row>
    <row r="86" spans="1:81">
      <c r="A86" s="699"/>
      <c r="B86" s="23" t="s">
        <v>7</v>
      </c>
      <c r="C86" s="17" t="s">
        <v>9</v>
      </c>
      <c r="D86" s="57"/>
      <c r="E86" s="2"/>
      <c r="F86" s="2"/>
      <c r="G86" s="63"/>
      <c r="H86" s="2"/>
      <c r="I86" s="20"/>
      <c r="J86" s="21">
        <f>E97*'[2]C&amp;I composn'!$E$25</f>
        <v>3663.8212894648168</v>
      </c>
      <c r="K86" s="21"/>
      <c r="L86" s="22"/>
      <c r="M86" s="2"/>
      <c r="N86" s="20"/>
      <c r="O86" s="21"/>
      <c r="P86" s="21"/>
      <c r="Q86" s="22"/>
      <c r="R86" s="34"/>
      <c r="T86" s="201"/>
      <c r="U86" s="2"/>
      <c r="V86" s="2"/>
      <c r="W86" s="199"/>
      <c r="X86" s="198"/>
      <c r="Y86" s="198"/>
      <c r="Z86" s="198"/>
      <c r="AA86" s="274"/>
      <c r="AB86" s="21"/>
      <c r="AC86" s="301">
        <f>($AC$97-$AC$69-$AC$84)*'[2]C&amp;I composn'!D$84</f>
        <v>285.41932227090871</v>
      </c>
      <c r="AD86" s="21"/>
      <c r="AE86" s="21"/>
      <c r="AF86" s="70"/>
      <c r="AG86" s="20"/>
      <c r="AH86" s="21"/>
      <c r="AI86" s="21"/>
      <c r="AJ86" s="22"/>
      <c r="AK86" s="29"/>
      <c r="AL86" s="19"/>
      <c r="AM86" s="57"/>
      <c r="AN86" s="2"/>
      <c r="AO86" s="2"/>
      <c r="AP86" s="63"/>
      <c r="AQ86" s="68"/>
      <c r="AR86" s="21"/>
      <c r="AS86" s="35"/>
      <c r="AT86" s="21"/>
      <c r="AU86" s="25"/>
      <c r="AV86" s="21"/>
      <c r="AW86" s="22"/>
      <c r="AX86" s="2"/>
      <c r="AY86" s="238"/>
      <c r="BB86" s="21"/>
      <c r="BC86" s="29"/>
      <c r="BR86" s="337"/>
      <c r="BS86" s="337"/>
      <c r="BT86" s="337"/>
      <c r="BU86" s="314"/>
      <c r="BV86" s="314"/>
      <c r="BW86" s="314"/>
      <c r="BX86" s="314"/>
      <c r="BY86" s="314"/>
      <c r="BZ86" s="314"/>
      <c r="CA86" s="314"/>
      <c r="CB86" s="314"/>
      <c r="CC86" s="337"/>
    </row>
    <row r="87" spans="1:81">
      <c r="A87" s="699"/>
      <c r="B87" s="23"/>
      <c r="C87" s="17" t="s">
        <v>10</v>
      </c>
      <c r="D87" s="57"/>
      <c r="E87" s="2"/>
      <c r="F87" s="2"/>
      <c r="G87" s="63"/>
      <c r="H87" s="2"/>
      <c r="I87" s="20"/>
      <c r="J87" s="21">
        <f>E97*'[2]C&amp;I composn'!$E$26</f>
        <v>1354.0688787445849</v>
      </c>
      <c r="K87" s="21"/>
      <c r="L87" s="22"/>
      <c r="M87" s="2"/>
      <c r="N87" s="20"/>
      <c r="O87" s="21"/>
      <c r="P87" s="21"/>
      <c r="Q87" s="22"/>
      <c r="R87" s="33"/>
      <c r="T87" s="201"/>
      <c r="U87" s="2"/>
      <c r="V87" s="2"/>
      <c r="W87" s="199"/>
      <c r="X87" s="198"/>
      <c r="Y87" s="198"/>
      <c r="Z87" s="198"/>
      <c r="AA87" s="274"/>
      <c r="AB87" s="21"/>
      <c r="AC87" s="301">
        <f>($AC$97-$AC$69-$AC$84)*'[2]C&amp;I composn'!D$85</f>
        <v>138.24761396745961</v>
      </c>
      <c r="AD87" s="21"/>
      <c r="AE87" s="21"/>
      <c r="AF87" s="70"/>
      <c r="AG87" s="20"/>
      <c r="AH87" s="21"/>
      <c r="AI87" s="21"/>
      <c r="AJ87" s="22"/>
      <c r="AK87" s="29"/>
      <c r="AL87" s="19"/>
      <c r="AM87" s="57"/>
      <c r="AN87" s="2"/>
      <c r="AO87" s="2"/>
      <c r="AP87" s="63"/>
      <c r="AQ87" s="68"/>
      <c r="AR87" s="21"/>
      <c r="AS87" s="21"/>
      <c r="AT87" s="21"/>
      <c r="AU87" s="240"/>
      <c r="AV87" s="21"/>
      <c r="AW87" s="195"/>
      <c r="AX87" s="2"/>
      <c r="AY87" s="238"/>
      <c r="BB87" s="21"/>
      <c r="BC87" s="29"/>
      <c r="BR87" s="337"/>
      <c r="BS87" s="337"/>
      <c r="BT87" s="337"/>
      <c r="BU87" s="338" t="s">
        <v>2</v>
      </c>
      <c r="BV87" s="337"/>
      <c r="BW87" s="337"/>
      <c r="BX87" s="337"/>
      <c r="BY87" s="337"/>
      <c r="BZ87" s="337"/>
      <c r="CA87" s="337"/>
      <c r="CB87" s="337"/>
      <c r="CC87" s="337"/>
    </row>
    <row r="88" spans="1:81" s="106" customFormat="1">
      <c r="A88" s="699"/>
      <c r="B88" s="107" t="s">
        <v>67</v>
      </c>
      <c r="C88" s="108"/>
      <c r="D88" s="109"/>
      <c r="E88" s="110"/>
      <c r="F88" s="110"/>
      <c r="G88" s="111"/>
      <c r="H88" s="110"/>
      <c r="I88" s="112">
        <f>D97*'[2]Lfill en &amp; composn'!B$139</f>
        <v>3974.8250000000003</v>
      </c>
      <c r="J88" s="113">
        <f>SUM(J86:J87)</f>
        <v>5017.890168209402</v>
      </c>
      <c r="K88" s="113">
        <f>F97*'[2]Lfill en &amp; composn'!C$139</f>
        <v>0</v>
      </c>
      <c r="L88" s="114">
        <f>SUM(I88:K88)</f>
        <v>8992.7151682094027</v>
      </c>
      <c r="M88" s="110"/>
      <c r="N88" s="112"/>
      <c r="O88" s="113"/>
      <c r="P88" s="113"/>
      <c r="Q88" s="114">
        <f>L88</f>
        <v>8992.7151682094027</v>
      </c>
      <c r="R88" s="115">
        <f>Q88/[2]Popn!$G$42*1000</f>
        <v>17.742832586464083</v>
      </c>
      <c r="T88" s="202"/>
      <c r="U88" s="110"/>
      <c r="V88" s="110"/>
      <c r="W88" s="203"/>
      <c r="X88" s="130"/>
      <c r="Y88" s="130"/>
      <c r="Z88" s="130"/>
      <c r="AA88" s="276"/>
      <c r="AB88" s="113"/>
      <c r="AC88" s="113">
        <f>SUM(AC86:AC87)</f>
        <v>423.66693623836829</v>
      </c>
      <c r="AD88" s="113"/>
      <c r="AE88" s="113">
        <f>SUM(AB88:AD88)</f>
        <v>423.66693623836829</v>
      </c>
      <c r="AF88" s="117"/>
      <c r="AG88" s="112">
        <f>AB88</f>
        <v>0</v>
      </c>
      <c r="AH88" s="113">
        <f>AC88</f>
        <v>423.66693623836829</v>
      </c>
      <c r="AI88" s="113">
        <f>AD88</f>
        <v>0</v>
      </c>
      <c r="AJ88" s="114">
        <f>SUM(AG88:AI88)</f>
        <v>423.66693623836829</v>
      </c>
      <c r="AK88" s="118">
        <f>AJ88/[2]Popn!$G$42*1000</f>
        <v>0.83590454957045968</v>
      </c>
      <c r="AL88" s="119"/>
      <c r="AM88" s="109"/>
      <c r="AN88" s="110"/>
      <c r="AO88" s="110"/>
      <c r="AP88" s="111"/>
      <c r="AQ88" s="116"/>
      <c r="AR88" s="113">
        <f>L88*'[2]Lfill en &amp; composn'!$D$25</f>
        <v>1416.3526389929809</v>
      </c>
      <c r="AS88" s="113">
        <f>AR88/SUM($AR$54:$AR$96)</f>
        <v>3.9725595158966218E-2</v>
      </c>
      <c r="AT88" s="113">
        <f>AS88*'[2]Lfill en &amp; composn'!$G$64/'[2]Lfill en &amp; composn'!$B$25</f>
        <v>1145.1224528653477</v>
      </c>
      <c r="AU88" s="120">
        <f>$AT88*I88/SUM($I88:$K88)</f>
        <v>506.14984112933007</v>
      </c>
      <c r="AV88" s="113">
        <f>$AT88*J88/SUM($I88:$K88)</f>
        <v>638.97261173601748</v>
      </c>
      <c r="AW88" s="114">
        <f>$AT88*K88/SUM($I88:$K88)</f>
        <v>0</v>
      </c>
      <c r="AX88" s="110"/>
      <c r="AY88" s="241">
        <f>AU88</f>
        <v>506.14984112933007</v>
      </c>
      <c r="AZ88" s="242">
        <f>AV88</f>
        <v>638.97261173601748</v>
      </c>
      <c r="BA88" s="242">
        <f>AW88</f>
        <v>0</v>
      </c>
      <c r="BB88" s="114">
        <f>AT88+AP88</f>
        <v>1145.1224528653477</v>
      </c>
      <c r="BC88" s="118">
        <f>BB88/[2]Popn!$G$42*1000</f>
        <v>2.2593527752349085</v>
      </c>
      <c r="BD88" s="122"/>
      <c r="BG88" s="144"/>
      <c r="BR88" s="340"/>
      <c r="BS88" s="340"/>
      <c r="BT88" s="340"/>
      <c r="BU88" s="337"/>
      <c r="BV88" s="339" t="s">
        <v>72</v>
      </c>
      <c r="BW88" s="339" t="s">
        <v>68</v>
      </c>
      <c r="BX88" s="339" t="s">
        <v>69</v>
      </c>
      <c r="BY88" s="337"/>
      <c r="BZ88" s="337"/>
      <c r="CA88" s="337"/>
      <c r="CB88" s="337"/>
      <c r="CC88" s="340"/>
    </row>
    <row r="89" spans="1:81">
      <c r="A89" s="699"/>
      <c r="B89" s="23" t="s">
        <v>11</v>
      </c>
      <c r="C89" s="17" t="s">
        <v>12</v>
      </c>
      <c r="D89" s="57"/>
      <c r="E89" s="2"/>
      <c r="F89" s="2"/>
      <c r="G89" s="63"/>
      <c r="H89" s="2"/>
      <c r="I89" s="20"/>
      <c r="J89" s="21"/>
      <c r="K89" s="21"/>
      <c r="L89" s="22"/>
      <c r="M89" s="2"/>
      <c r="N89" s="20"/>
      <c r="O89" s="21"/>
      <c r="P89" s="21"/>
      <c r="Q89" s="22"/>
      <c r="R89" s="33"/>
      <c r="T89" s="201"/>
      <c r="U89" s="2"/>
      <c r="V89" s="2"/>
      <c r="W89" s="199"/>
      <c r="X89" s="198"/>
      <c r="Y89" s="198"/>
      <c r="Z89" s="198"/>
      <c r="AA89" s="274"/>
      <c r="AB89" s="21"/>
      <c r="AC89" s="21"/>
      <c r="AD89" s="21"/>
      <c r="AE89" s="21"/>
      <c r="AF89" s="70"/>
      <c r="AG89" s="20"/>
      <c r="AH89" s="21"/>
      <c r="AI89" s="21"/>
      <c r="AJ89" s="22"/>
      <c r="AK89" s="29"/>
      <c r="AL89" s="19"/>
      <c r="AM89" s="57"/>
      <c r="AN89" s="2"/>
      <c r="AO89" s="2"/>
      <c r="AP89" s="63"/>
      <c r="AQ89" s="68"/>
      <c r="AR89" s="21"/>
      <c r="AS89" s="21"/>
      <c r="AT89" s="21"/>
      <c r="AU89" s="25"/>
      <c r="AV89" s="21"/>
      <c r="AW89" s="22"/>
      <c r="AX89" s="2"/>
      <c r="AY89" s="23"/>
      <c r="AZ89" s="19"/>
      <c r="BA89" s="19"/>
      <c r="BB89" s="19"/>
      <c r="BC89" s="24"/>
      <c r="BR89" s="337"/>
      <c r="BS89" s="337"/>
      <c r="BT89" s="337"/>
      <c r="BU89" s="349" t="s">
        <v>100</v>
      </c>
      <c r="BV89" s="341">
        <f>BH166</f>
        <v>199.12737205525949</v>
      </c>
      <c r="BW89" s="341">
        <f>BI166</f>
        <v>27.587</v>
      </c>
      <c r="BX89" s="341">
        <f>BJ166</f>
        <v>25.96736393160803</v>
      </c>
      <c r="BY89" s="340"/>
      <c r="BZ89" s="340"/>
      <c r="CA89" s="340"/>
      <c r="CB89" s="340"/>
      <c r="CC89" s="337"/>
    </row>
    <row r="90" spans="1:81">
      <c r="A90" s="699"/>
      <c r="B90" s="23"/>
      <c r="C90" s="17" t="s">
        <v>13</v>
      </c>
      <c r="D90" s="57"/>
      <c r="E90" s="2"/>
      <c r="F90" s="2"/>
      <c r="G90" s="156"/>
      <c r="H90" s="3"/>
      <c r="I90" s="20"/>
      <c r="J90" s="21"/>
      <c r="K90" s="21"/>
      <c r="L90" s="22"/>
      <c r="M90" s="83"/>
      <c r="N90" s="20"/>
      <c r="O90" s="21"/>
      <c r="P90" s="21"/>
      <c r="Q90" s="22"/>
      <c r="R90" s="34"/>
      <c r="T90" s="201"/>
      <c r="U90" s="2"/>
      <c r="V90" s="2"/>
      <c r="W90" s="199"/>
      <c r="X90" s="198"/>
      <c r="Y90" s="198"/>
      <c r="Z90" s="198"/>
      <c r="AA90" s="282"/>
      <c r="AB90" s="21"/>
      <c r="AC90" s="21"/>
      <c r="AD90" s="21"/>
      <c r="AE90" s="21"/>
      <c r="AF90" s="70"/>
      <c r="AG90" s="20"/>
      <c r="AH90" s="21"/>
      <c r="AI90" s="21"/>
      <c r="AJ90" s="22"/>
      <c r="AK90" s="29"/>
      <c r="AL90" s="19"/>
      <c r="AM90" s="57"/>
      <c r="AN90" s="2"/>
      <c r="AO90" s="2"/>
      <c r="AP90" s="64"/>
      <c r="AQ90" s="69"/>
      <c r="AR90" s="21"/>
      <c r="AS90" s="21"/>
      <c r="AT90" s="21"/>
      <c r="AU90" s="25"/>
      <c r="AV90" s="21"/>
      <c r="AW90" s="22"/>
      <c r="AX90" s="2"/>
      <c r="AY90" s="20"/>
      <c r="AZ90" s="21"/>
      <c r="BA90" s="21"/>
      <c r="BB90" s="21"/>
      <c r="BC90" s="24"/>
      <c r="BR90" s="337"/>
      <c r="BS90" s="348"/>
      <c r="BT90" s="347" t="s">
        <v>107</v>
      </c>
      <c r="BU90" s="350" t="s">
        <v>104</v>
      </c>
      <c r="BV90" s="313">
        <f>AVERAGE(BV89,BV91)</f>
        <v>172.53040534059244</v>
      </c>
      <c r="BW90" s="313">
        <f>AVERAGE(BW89,BW91)</f>
        <v>26.516500000000001</v>
      </c>
      <c r="BX90" s="313">
        <f>AVERAGE(BX89,BX91)</f>
        <v>30.524817619400473</v>
      </c>
      <c r="BY90" s="337"/>
      <c r="BZ90" s="337"/>
      <c r="CA90" s="337"/>
      <c r="CB90" s="337"/>
      <c r="CC90" s="337"/>
    </row>
    <row r="91" spans="1:81">
      <c r="A91" s="699"/>
      <c r="B91" s="23"/>
      <c r="C91" s="17" t="s">
        <v>14</v>
      </c>
      <c r="D91" s="57"/>
      <c r="E91" s="2"/>
      <c r="F91" s="2"/>
      <c r="G91" s="156"/>
      <c r="H91" s="3"/>
      <c r="I91" s="20"/>
      <c r="J91" s="21"/>
      <c r="K91" s="21"/>
      <c r="L91" s="22"/>
      <c r="M91" s="83"/>
      <c r="N91" s="20"/>
      <c r="O91" s="21"/>
      <c r="P91" s="21"/>
      <c r="Q91" s="22"/>
      <c r="R91" s="34"/>
      <c r="T91" s="201"/>
      <c r="U91" s="2"/>
      <c r="V91" s="2"/>
      <c r="W91" s="199"/>
      <c r="X91" s="198"/>
      <c r="Y91" s="198"/>
      <c r="Z91" s="198"/>
      <c r="AA91" s="282"/>
      <c r="AB91" s="21"/>
      <c r="AC91" s="21"/>
      <c r="AD91" s="21"/>
      <c r="AE91" s="21"/>
      <c r="AF91" s="70"/>
      <c r="AG91" s="20"/>
      <c r="AH91" s="21"/>
      <c r="AI91" s="21"/>
      <c r="AJ91" s="22"/>
      <c r="AK91" s="29"/>
      <c r="AL91" s="19"/>
      <c r="AM91" s="57"/>
      <c r="AN91" s="2"/>
      <c r="AO91" s="2"/>
      <c r="AP91" s="64"/>
      <c r="AQ91" s="69"/>
      <c r="AR91" s="21"/>
      <c r="AS91" s="21"/>
      <c r="AT91" s="21"/>
      <c r="AU91" s="25"/>
      <c r="AV91" s="21"/>
      <c r="AW91" s="22"/>
      <c r="AX91" s="2"/>
      <c r="AY91" s="23"/>
      <c r="AZ91" s="19"/>
      <c r="BA91" s="19"/>
      <c r="BB91" s="21"/>
      <c r="BC91" s="24"/>
      <c r="BR91" s="337"/>
      <c r="BS91" s="337"/>
      <c r="BT91" s="337"/>
      <c r="BU91" s="351" t="s">
        <v>101</v>
      </c>
      <c r="BV91" s="341">
        <f>BH119</f>
        <v>145.93343862592539</v>
      </c>
      <c r="BW91" s="341">
        <f>BI119</f>
        <v>25.446000000000002</v>
      </c>
      <c r="BX91" s="341">
        <f>BJ119</f>
        <v>35.082271307192912</v>
      </c>
      <c r="BY91" s="337"/>
      <c r="BZ91" s="337"/>
      <c r="CA91" s="337"/>
      <c r="CB91" s="337"/>
      <c r="CC91" s="337"/>
    </row>
    <row r="92" spans="1:81">
      <c r="A92" s="699"/>
      <c r="B92" s="23"/>
      <c r="C92" s="17" t="s">
        <v>15</v>
      </c>
      <c r="D92" s="57"/>
      <c r="E92" s="2"/>
      <c r="F92" s="2"/>
      <c r="G92" s="156"/>
      <c r="H92" s="3"/>
      <c r="I92" s="20"/>
      <c r="J92" s="21"/>
      <c r="K92" s="21"/>
      <c r="L92" s="22"/>
      <c r="M92" s="83"/>
      <c r="N92" s="20"/>
      <c r="O92" s="21"/>
      <c r="P92" s="21"/>
      <c r="Q92" s="22"/>
      <c r="R92" s="34"/>
      <c r="T92" s="201"/>
      <c r="U92" s="2"/>
      <c r="V92" s="2"/>
      <c r="W92" s="199"/>
      <c r="X92" s="198"/>
      <c r="Y92" s="198"/>
      <c r="Z92" s="198"/>
      <c r="AA92" s="282"/>
      <c r="AB92" s="21"/>
      <c r="AC92" s="21"/>
      <c r="AD92" s="21"/>
      <c r="AE92" s="21"/>
      <c r="AF92" s="70"/>
      <c r="AG92" s="20"/>
      <c r="AH92" s="21"/>
      <c r="AI92" s="21"/>
      <c r="AJ92" s="22"/>
      <c r="AK92" s="29"/>
      <c r="AL92" s="19"/>
      <c r="AM92" s="57"/>
      <c r="AN92" s="2"/>
      <c r="AO92" s="2"/>
      <c r="AP92" s="64"/>
      <c r="AQ92" s="69"/>
      <c r="AR92" s="21"/>
      <c r="AS92" s="21"/>
      <c r="AT92" s="21"/>
      <c r="AU92" s="25"/>
      <c r="AV92" s="21"/>
      <c r="AW92" s="22"/>
      <c r="AX92" s="2"/>
      <c r="AY92" s="23"/>
      <c r="AZ92" s="19"/>
      <c r="BA92" s="19"/>
      <c r="BB92" s="21"/>
      <c r="BC92" s="24"/>
      <c r="BR92" s="337"/>
      <c r="BS92" s="337"/>
      <c r="BT92" s="337"/>
      <c r="BU92" s="352" t="s">
        <v>102</v>
      </c>
      <c r="BV92" s="341">
        <f>BH72</f>
        <v>147.52742752279863</v>
      </c>
      <c r="BW92" s="341">
        <f>BI72</f>
        <v>40.411000000000001</v>
      </c>
      <c r="BX92" s="341">
        <f>BJ72</f>
        <v>29.892159701372812</v>
      </c>
      <c r="BY92" s="337"/>
      <c r="BZ92" s="337"/>
      <c r="CA92" s="337"/>
      <c r="CB92" s="337"/>
      <c r="CC92" s="337"/>
    </row>
    <row r="93" spans="1:81" s="106" customFormat="1">
      <c r="A93" s="699"/>
      <c r="B93" s="107" t="s">
        <v>67</v>
      </c>
      <c r="C93" s="108"/>
      <c r="D93" s="109"/>
      <c r="E93" s="110"/>
      <c r="F93" s="110"/>
      <c r="G93" s="124"/>
      <c r="H93" s="125"/>
      <c r="I93" s="112">
        <f>D97*'[2]Lfill en &amp; composn'!B$140</f>
        <v>2759.7767841965865</v>
      </c>
      <c r="J93" s="113">
        <f>E97*'[2]C&amp;I composn'!$E$28</f>
        <v>19137.505922945034</v>
      </c>
      <c r="K93" s="113">
        <f>F97*'[2]Lfill en &amp; composn'!C$140</f>
        <v>7222.4431398163979</v>
      </c>
      <c r="L93" s="114">
        <f>SUM(I93:K93)</f>
        <v>29119.725846958019</v>
      </c>
      <c r="M93" s="110"/>
      <c r="N93" s="112"/>
      <c r="O93" s="113"/>
      <c r="P93" s="113"/>
      <c r="Q93" s="114">
        <f>L93</f>
        <v>29119.725846958019</v>
      </c>
      <c r="R93" s="115">
        <f>Q93/[2]Popn!$G$42*1000</f>
        <v>57.453884728029692</v>
      </c>
      <c r="T93" s="202"/>
      <c r="U93" s="110"/>
      <c r="V93" s="110"/>
      <c r="W93" s="203"/>
      <c r="X93" s="130"/>
      <c r="Y93" s="130"/>
      <c r="Z93" s="130"/>
      <c r="AA93" s="284"/>
      <c r="AB93" s="113"/>
      <c r="AC93" s="113"/>
      <c r="AD93" s="113"/>
      <c r="AE93" s="113"/>
      <c r="AF93" s="117"/>
      <c r="AG93" s="112">
        <f>AB93</f>
        <v>0</v>
      </c>
      <c r="AH93" s="113">
        <f>AC93</f>
        <v>0</v>
      </c>
      <c r="AI93" s="113">
        <f>AD93</f>
        <v>0</v>
      </c>
      <c r="AJ93" s="114">
        <f>SUM(AG93:AI93)</f>
        <v>0</v>
      </c>
      <c r="AK93" s="118">
        <f>AJ93/[2]Popn!$G$42*1000</f>
        <v>0</v>
      </c>
      <c r="AL93" s="119"/>
      <c r="AM93" s="109"/>
      <c r="AN93" s="110"/>
      <c r="AO93" s="110"/>
      <c r="AP93" s="124"/>
      <c r="AQ93" s="126"/>
      <c r="AR93" s="113"/>
      <c r="AS93" s="113"/>
      <c r="AT93" s="113"/>
      <c r="AU93" s="120"/>
      <c r="AV93" s="113"/>
      <c r="AW93" s="114"/>
      <c r="AX93" s="110"/>
      <c r="AY93" s="127"/>
      <c r="AZ93" s="119"/>
      <c r="BA93" s="119"/>
      <c r="BB93" s="113"/>
      <c r="BC93" s="121"/>
      <c r="BG93" s="144"/>
      <c r="BR93" s="340"/>
      <c r="BS93" s="340"/>
      <c r="BT93" s="340"/>
      <c r="BU93" s="351" t="s">
        <v>103</v>
      </c>
      <c r="BV93" s="341">
        <f>BH25</f>
        <v>170.64238473663917</v>
      </c>
      <c r="BW93" s="341">
        <f>BI25</f>
        <v>43.930999999999997</v>
      </c>
      <c r="BX93" s="341">
        <f>BJ25</f>
        <v>29.67172240276086</v>
      </c>
      <c r="BY93" s="337"/>
      <c r="BZ93" s="337"/>
      <c r="CA93" s="337"/>
      <c r="CB93" s="337"/>
      <c r="CC93" s="340"/>
    </row>
    <row r="94" spans="1:81" s="106" customFormat="1" ht="13.5" thickBot="1">
      <c r="A94" s="699"/>
      <c r="B94" s="131" t="s">
        <v>37</v>
      </c>
      <c r="C94" s="132" t="s">
        <v>1</v>
      </c>
      <c r="D94" s="109"/>
      <c r="E94" s="110"/>
      <c r="F94" s="110"/>
      <c r="G94" s="203"/>
      <c r="H94" s="130">
        <f>'[2]Fly ash'!$D$263</f>
        <v>0</v>
      </c>
      <c r="I94" s="112"/>
      <c r="J94" s="113"/>
      <c r="K94" s="113"/>
      <c r="L94" s="114"/>
      <c r="M94" s="110"/>
      <c r="N94" s="127"/>
      <c r="O94" s="119"/>
      <c r="P94" s="119"/>
      <c r="Q94" s="113">
        <f>H94</f>
        <v>0</v>
      </c>
      <c r="R94" s="115">
        <f>Q94/[2]Popn!$G$42*1000</f>
        <v>0</v>
      </c>
      <c r="T94" s="202"/>
      <c r="U94" s="110"/>
      <c r="V94" s="110"/>
      <c r="W94" s="203"/>
      <c r="X94" s="130"/>
      <c r="Y94" s="130"/>
      <c r="Z94" s="130"/>
      <c r="AA94" s="285">
        <f>'[2]Fly ash'!$D$255</f>
        <v>0</v>
      </c>
      <c r="AB94" s="113"/>
      <c r="AC94" s="113"/>
      <c r="AD94" s="113"/>
      <c r="AE94" s="113"/>
      <c r="AF94" s="117"/>
      <c r="AG94" s="112"/>
      <c r="AH94" s="113"/>
      <c r="AI94" s="113"/>
      <c r="AJ94" s="114">
        <f>W94</f>
        <v>0</v>
      </c>
      <c r="AK94" s="118">
        <f>AJ94/[2]Popn!$G$42*1000</f>
        <v>0</v>
      </c>
      <c r="AL94" s="119"/>
      <c r="AM94" s="109"/>
      <c r="AN94" s="110"/>
      <c r="AO94" s="110"/>
      <c r="AP94" s="111"/>
      <c r="AQ94" s="117"/>
      <c r="AR94" s="113"/>
      <c r="AS94" s="113"/>
      <c r="AT94" s="113"/>
      <c r="AU94" s="120"/>
      <c r="AV94" s="113"/>
      <c r="AW94" s="114"/>
      <c r="AX94" s="110"/>
      <c r="AY94" s="127"/>
      <c r="AZ94" s="119"/>
      <c r="BA94" s="119"/>
      <c r="BB94" s="119"/>
      <c r="BC94" s="121"/>
      <c r="BG94" s="144"/>
      <c r="BR94" s="340"/>
      <c r="BS94" s="340"/>
      <c r="BT94" s="340"/>
      <c r="BU94" s="340"/>
      <c r="BV94" s="340"/>
      <c r="BW94" s="340"/>
      <c r="BX94" s="340"/>
      <c r="BY94" s="340"/>
      <c r="BZ94" s="340"/>
      <c r="CA94" s="340"/>
      <c r="CB94" s="340"/>
      <c r="CC94" s="340"/>
    </row>
    <row r="95" spans="1:81" ht="13.5" thickBot="1">
      <c r="B95" s="19"/>
      <c r="C95" s="38"/>
      <c r="D95" s="57"/>
      <c r="E95" s="2"/>
      <c r="F95" s="2"/>
      <c r="G95" s="63"/>
      <c r="H95" s="2"/>
      <c r="I95" s="20"/>
      <c r="J95" s="21"/>
      <c r="K95" s="21"/>
      <c r="L95" s="22"/>
      <c r="M95" s="2"/>
      <c r="N95" s="23"/>
      <c r="O95" s="19"/>
      <c r="P95" s="19"/>
      <c r="Q95" s="19"/>
      <c r="R95" s="24"/>
      <c r="T95" s="201"/>
      <c r="U95" s="2"/>
      <c r="V95" s="2"/>
      <c r="W95" s="63"/>
      <c r="X95" s="2"/>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19"/>
      <c r="BC95" s="24"/>
      <c r="BR95" s="337"/>
      <c r="BS95" s="337"/>
      <c r="BT95" s="337"/>
      <c r="BU95" s="340"/>
      <c r="BV95" s="340"/>
      <c r="BW95" s="340"/>
      <c r="BX95" s="340"/>
      <c r="BY95" s="340"/>
      <c r="BZ95" s="340"/>
      <c r="CA95" s="340"/>
      <c r="CB95" s="340"/>
      <c r="CC95" s="337"/>
    </row>
    <row r="96" spans="1:81" ht="13.5" thickBot="1">
      <c r="C96" s="39" t="s">
        <v>38</v>
      </c>
      <c r="D96" s="58"/>
      <c r="E96" s="59"/>
      <c r="F96" s="2"/>
      <c r="G96" s="208"/>
      <c r="H96" s="2"/>
      <c r="I96" s="20"/>
      <c r="J96" s="21"/>
      <c r="K96" s="21"/>
      <c r="L96" s="22"/>
      <c r="M96" s="2"/>
      <c r="N96" s="23"/>
      <c r="O96" s="19"/>
      <c r="P96" s="19"/>
      <c r="Q96" s="19"/>
      <c r="R96" s="24"/>
      <c r="T96" s="206"/>
      <c r="U96" s="59"/>
      <c r="V96" s="2"/>
      <c r="W96" s="208"/>
      <c r="X96" s="198"/>
      <c r="Y96" s="198"/>
      <c r="Z96" s="198"/>
      <c r="AA96" s="274"/>
      <c r="AB96" s="21"/>
      <c r="AC96" s="21"/>
      <c r="AD96" s="21"/>
      <c r="AE96" s="21"/>
      <c r="AF96" s="70"/>
      <c r="AG96" s="20"/>
      <c r="AH96" s="21"/>
      <c r="AI96" s="21"/>
      <c r="AJ96" s="22"/>
      <c r="AK96" s="40"/>
      <c r="AL96" s="19"/>
      <c r="AM96" s="58"/>
      <c r="AN96" s="59"/>
      <c r="AO96" s="2"/>
      <c r="AP96" s="65"/>
      <c r="AQ96" s="68"/>
      <c r="AR96" s="21"/>
      <c r="AS96" s="21"/>
      <c r="AT96" s="21"/>
      <c r="AU96" s="25"/>
      <c r="AV96" s="21"/>
      <c r="AW96" s="22"/>
      <c r="AX96" s="2"/>
      <c r="AY96" s="23"/>
      <c r="AZ96" s="19"/>
      <c r="BA96" s="19"/>
      <c r="BB96" s="19"/>
      <c r="BC96" s="24"/>
      <c r="BR96" s="337"/>
      <c r="BS96" s="337"/>
      <c r="BT96" s="337"/>
      <c r="BU96" s="337"/>
      <c r="BV96" s="337"/>
      <c r="BW96" s="337"/>
      <c r="BX96" s="337"/>
      <c r="BY96" s="337"/>
      <c r="BZ96" s="337"/>
      <c r="CA96" s="337"/>
      <c r="CB96" s="337"/>
      <c r="CC96" s="337"/>
    </row>
    <row r="97" spans="1:81" ht="13.5" thickBot="1">
      <c r="C97" s="135" t="s">
        <v>92</v>
      </c>
      <c r="D97" s="134">
        <f>[2]TAS!E$31</f>
        <v>158993</v>
      </c>
      <c r="E97" s="134">
        <f>[2]TAS!F$31</f>
        <v>200223</v>
      </c>
      <c r="F97" s="134">
        <f>[2]TAS!G$31</f>
        <v>27586</v>
      </c>
      <c r="G97" s="66">
        <f>SUM(D97:F97)</f>
        <v>386802</v>
      </c>
      <c r="H97" s="231"/>
      <c r="I97" s="41">
        <f>SUM(I54:I96)</f>
        <v>158993</v>
      </c>
      <c r="J97" s="218">
        <f>SUM(J93,J88,J85,J84,J74,J69,J63,J59)</f>
        <v>200222.99999999997</v>
      </c>
      <c r="K97" s="218">
        <f>SUM(K54:K96)</f>
        <v>27585.383613952723</v>
      </c>
      <c r="L97" s="42">
        <f>SUM(L93,L88,L85,L84,L74,L69,L63,L59)</f>
        <v>386801.38361395267</v>
      </c>
      <c r="M97" s="43"/>
      <c r="N97" s="44">
        <f>SUM(N93,N88,N85,N84,N74,N69,N63,N59,N96)</f>
        <v>0</v>
      </c>
      <c r="O97" s="45">
        <f>SUM(O93,O88,O85,O84,O74,O69,O63,O59,O96)</f>
        <v>0</v>
      </c>
      <c r="P97" s="45">
        <f>SUM(P93,P88,P85,P84,P74,P69,P63,P59,P96)</f>
        <v>0</v>
      </c>
      <c r="Q97" s="133">
        <f>SUM(Q93,Q88,Q85,Q84,Q74,Q69,Q63,Q59,Q96)</f>
        <v>347977.83455364557</v>
      </c>
      <c r="R97" s="27">
        <f>SUM(R93,R88,R85,R84,R74,R69,R63,R59)</f>
        <v>686.56822181047642</v>
      </c>
      <c r="T97" s="60"/>
      <c r="U97" s="134"/>
      <c r="V97" s="134"/>
      <c r="W97" s="66">
        <f>SUM([2]TAS!$F$17:$G$17)</f>
        <v>137151</v>
      </c>
      <c r="X97" s="362"/>
      <c r="Y97" s="362"/>
      <c r="Z97" s="362"/>
      <c r="AA97" s="287"/>
      <c r="AB97" s="45">
        <f>SUM(AB93,AB88,AB85,AB84,AB74,AB69,AB63,AB59)</f>
        <v>72728.936544552678</v>
      </c>
      <c r="AC97" s="45">
        <f>W97-AB97</f>
        <v>64422.063455447322</v>
      </c>
      <c r="AD97" s="45">
        <v>0</v>
      </c>
      <c r="AE97" s="45"/>
      <c r="AF97" s="555"/>
      <c r="AG97" s="45">
        <f>SUM(AG93,AG88,AG85,AG84,AG74,AG69,AG63,AG59)</f>
        <v>72728.936544552678</v>
      </c>
      <c r="AH97" s="45">
        <f>SUM(AH93,AH88,AH85,AH84,AH74,AH69,AH63,AH59)</f>
        <v>64422.0634554473</v>
      </c>
      <c r="AI97" s="45">
        <f>SUM(AI93,AI88,AI85,AI84,AI74,AI69,AI63,AI59)</f>
        <v>0</v>
      </c>
      <c r="AJ97" s="354">
        <f>SUM(AJ93,AJ88,AJ85,AJ84,AJ74,AJ69,AJ63,AJ59,AJ96)</f>
        <v>137151</v>
      </c>
      <c r="AK97" s="27">
        <f>SUM(AK93,AK88,AK85,AK84,AK74,AK69,AK63,AK59,AK96)</f>
        <v>270.60205806014363</v>
      </c>
      <c r="AL97" s="19"/>
      <c r="AM97" s="60"/>
      <c r="AN97" s="706"/>
      <c r="AO97" s="707"/>
      <c r="AP97" s="66"/>
      <c r="AQ97" s="71"/>
      <c r="AR97" s="45">
        <f>SUM(AR54:AR96)</f>
        <v>35653.402631862264</v>
      </c>
      <c r="AS97" s="46">
        <f>SUM(AS54:AS96)</f>
        <v>1</v>
      </c>
      <c r="AT97" s="45">
        <f>SUM(AT54:AT96)</f>
        <v>69860.83121454528</v>
      </c>
      <c r="AU97" s="47"/>
      <c r="AV97" s="45"/>
      <c r="AW97" s="214"/>
      <c r="AX97" s="43"/>
      <c r="AY97" s="44">
        <f>SUM(AY93,AY88,AY85,AY84,AY74,AY69,AY63,AY59)</f>
        <v>18220.480924252734</v>
      </c>
      <c r="AZ97" s="45">
        <f>SUM(AZ93,AZ88,AZ85,AZ84,AZ74,AZ69,AZ63,AZ59)</f>
        <v>21273.093668130154</v>
      </c>
      <c r="BA97" s="45">
        <f>SUM(BA93,BA88,BA85,BA84,BA74,BA69,BA63,BA59)</f>
        <v>475.0969207895709</v>
      </c>
      <c r="BB97" s="354">
        <f>SUM(BB93,BB88,BB85,BB84,BB74,BB69,BB63,BB59,BB96)</f>
        <v>39968.671513172456</v>
      </c>
      <c r="BC97" s="27">
        <f>SUM(BC93,BC88,BC85,BC84,BC74,BC69,BC63,BC59,BC96)</f>
        <v>78.85910251762148</v>
      </c>
      <c r="BR97" s="337"/>
      <c r="BS97" s="337"/>
      <c r="BT97" s="337"/>
      <c r="BU97" s="337"/>
      <c r="BV97" s="337"/>
      <c r="BW97" s="337"/>
      <c r="BX97" s="337"/>
      <c r="BY97" s="337"/>
      <c r="BZ97" s="337"/>
      <c r="CA97" s="337"/>
      <c r="CB97" s="337"/>
      <c r="CC97" s="337"/>
    </row>
    <row r="98" spans="1:81" ht="13.5" thickBot="1">
      <c r="C98" s="136" t="s">
        <v>65</v>
      </c>
      <c r="Q98" s="49">
        <f>Q97+Q94</f>
        <v>347977.83455364557</v>
      </c>
      <c r="R98" s="216">
        <f>R97+R94</f>
        <v>686.56822181047642</v>
      </c>
      <c r="AG98" s="217"/>
      <c r="AJ98" s="353">
        <f>AJ97+AJ94</f>
        <v>137151</v>
      </c>
      <c r="AK98" s="216">
        <f>AK97+AK94</f>
        <v>270.60205806014363</v>
      </c>
      <c r="BB98" s="353">
        <f>BB97+BB94</f>
        <v>39968.671513172456</v>
      </c>
      <c r="BC98" s="216">
        <f>BC97+BC94</f>
        <v>78.85910251762148</v>
      </c>
      <c r="BR98" s="337"/>
      <c r="BS98" s="337"/>
      <c r="BT98" s="337"/>
      <c r="BU98" s="337"/>
      <c r="BV98" s="337"/>
      <c r="BW98" s="337"/>
      <c r="BX98" s="337"/>
      <c r="BY98" s="337"/>
      <c r="BZ98" s="337"/>
      <c r="CA98" s="337"/>
      <c r="CB98" s="337"/>
      <c r="CC98" s="337"/>
    </row>
    <row r="99" spans="1:81">
      <c r="BR99" s="337"/>
      <c r="BS99" s="337"/>
      <c r="BT99" s="337"/>
      <c r="BU99" s="337"/>
      <c r="BV99" s="337"/>
      <c r="BW99" s="337"/>
      <c r="BX99" s="337"/>
      <c r="BY99" s="337"/>
      <c r="BZ99" s="337"/>
      <c r="CA99" s="337"/>
      <c r="CB99" s="337"/>
      <c r="CC99" s="337"/>
    </row>
    <row r="100" spans="1:81" ht="13.5" thickBot="1">
      <c r="C100" s="89"/>
      <c r="AT100" s="215"/>
      <c r="AU100" s="215"/>
      <c r="AV100" s="215"/>
      <c r="AW100" s="215"/>
      <c r="BR100" s="337"/>
      <c r="BS100" s="337"/>
      <c r="BT100" s="337"/>
      <c r="BU100" s="337"/>
      <c r="BV100" s="337"/>
      <c r="BW100" s="337"/>
      <c r="BX100" s="337"/>
      <c r="BY100" s="337"/>
      <c r="BZ100" s="337"/>
      <c r="CA100" s="337"/>
      <c r="CB100" s="337"/>
      <c r="CC100" s="337"/>
    </row>
    <row r="101" spans="1:81">
      <c r="A101" s="699" t="s">
        <v>82</v>
      </c>
      <c r="B101" s="16" t="s">
        <v>3</v>
      </c>
      <c r="C101" s="148" t="s">
        <v>16</v>
      </c>
      <c r="D101" s="55"/>
      <c r="E101" s="56"/>
      <c r="F101" s="56"/>
      <c r="G101" s="149"/>
      <c r="H101" s="150"/>
      <c r="I101" s="151"/>
      <c r="J101" s="26"/>
      <c r="K101" s="26"/>
      <c r="L101" s="133"/>
      <c r="M101" s="56"/>
      <c r="N101" s="16"/>
      <c r="O101" s="18"/>
      <c r="P101" s="18"/>
      <c r="Q101" s="244"/>
      <c r="R101" s="28"/>
      <c r="S101" s="152"/>
      <c r="T101" s="55"/>
      <c r="U101" s="56"/>
      <c r="V101" s="56"/>
      <c r="W101" s="213"/>
      <c r="X101" s="197"/>
      <c r="Y101" s="197"/>
      <c r="Z101" s="197"/>
      <c r="AA101" s="290"/>
      <c r="AB101" s="26"/>
      <c r="AC101" s="26"/>
      <c r="AD101" s="26"/>
      <c r="AE101" s="26"/>
      <c r="AF101" s="84"/>
      <c r="AG101" s="151"/>
      <c r="AH101" s="26"/>
      <c r="AI101" s="26"/>
      <c r="AJ101" s="133"/>
      <c r="AK101" s="27"/>
      <c r="AL101" s="18"/>
      <c r="AM101" s="55"/>
      <c r="AN101" s="56"/>
      <c r="AO101" s="56"/>
      <c r="AP101" s="149"/>
      <c r="AQ101" s="153"/>
      <c r="AR101" s="26"/>
      <c r="AS101" s="26"/>
      <c r="AT101" s="21"/>
      <c r="AU101" s="25"/>
      <c r="AV101" s="21"/>
      <c r="AW101" s="22"/>
      <c r="AX101" s="56"/>
      <c r="AY101" s="16"/>
      <c r="AZ101" s="18"/>
      <c r="BA101" s="18"/>
      <c r="BB101" s="244"/>
      <c r="BC101" s="28"/>
      <c r="BD101" s="8"/>
      <c r="BH101" s="700" t="s">
        <v>86</v>
      </c>
      <c r="BI101" s="701"/>
      <c r="BJ101" s="701"/>
      <c r="BK101" s="701"/>
      <c r="BL101" s="702"/>
      <c r="BM101" s="700" t="s">
        <v>87</v>
      </c>
      <c r="BN101" s="702"/>
      <c r="BP101" s="8"/>
      <c r="BQ101" s="8"/>
      <c r="BR101" s="342"/>
      <c r="BS101" s="342"/>
      <c r="BT101" s="342"/>
      <c r="BU101" s="337"/>
      <c r="BV101" s="337"/>
      <c r="BW101" s="337"/>
      <c r="BX101" s="337"/>
      <c r="BY101" s="337"/>
      <c r="BZ101" s="337"/>
      <c r="CA101" s="337"/>
      <c r="CB101" s="337"/>
      <c r="CC101" s="337"/>
    </row>
    <row r="102" spans="1:81">
      <c r="A102" s="699"/>
      <c r="B102" s="23"/>
      <c r="C102" s="17" t="s">
        <v>17</v>
      </c>
      <c r="D102" s="57"/>
      <c r="E102" s="2"/>
      <c r="F102" s="2"/>
      <c r="G102" s="63"/>
      <c r="H102" s="5"/>
      <c r="I102" s="20"/>
      <c r="J102" s="21"/>
      <c r="K102" s="21"/>
      <c r="L102" s="22"/>
      <c r="M102" s="2"/>
      <c r="N102" s="23"/>
      <c r="O102" s="19"/>
      <c r="P102" s="19"/>
      <c r="Q102" s="19"/>
      <c r="R102" s="24"/>
      <c r="T102" s="57"/>
      <c r="U102" s="2"/>
      <c r="V102" s="2"/>
      <c r="W102" s="199"/>
      <c r="X102" s="198"/>
      <c r="Y102" s="198"/>
      <c r="Z102" s="198"/>
      <c r="AA102" s="272"/>
      <c r="AB102" s="21"/>
      <c r="AC102" s="21"/>
      <c r="AD102" s="21"/>
      <c r="AE102" s="21"/>
      <c r="AF102" s="70"/>
      <c r="AG102" s="20"/>
      <c r="AH102" s="21"/>
      <c r="AI102" s="21"/>
      <c r="AJ102" s="22"/>
      <c r="AK102" s="29"/>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3"/>
      <c r="BS102" s="343"/>
      <c r="BT102" s="343"/>
      <c r="BU102" s="342"/>
      <c r="BV102" s="337"/>
      <c r="BW102" s="337"/>
      <c r="BX102" s="337"/>
      <c r="BY102" s="337"/>
      <c r="BZ102" s="337"/>
      <c r="CA102" s="337"/>
      <c r="CB102" s="337"/>
      <c r="CC102" s="337"/>
    </row>
    <row r="103" spans="1:81">
      <c r="A103" s="699"/>
      <c r="B103" s="23"/>
      <c r="C103" s="17" t="s">
        <v>18</v>
      </c>
      <c r="D103" s="57"/>
      <c r="E103" s="2"/>
      <c r="F103" s="2"/>
      <c r="G103" s="63"/>
      <c r="H103" s="5"/>
      <c r="I103" s="20"/>
      <c r="J103" s="21"/>
      <c r="K103" s="21"/>
      <c r="L103" s="22"/>
      <c r="M103" s="2"/>
      <c r="N103" s="23"/>
      <c r="O103" s="19"/>
      <c r="P103" s="19"/>
      <c r="Q103" s="19"/>
      <c r="R103" s="24"/>
      <c r="T103" s="57"/>
      <c r="U103" s="2"/>
      <c r="V103" s="2"/>
      <c r="W103" s="199"/>
      <c r="X103" s="198"/>
      <c r="Y103" s="198"/>
      <c r="Z103" s="198"/>
      <c r="AA103" s="272"/>
      <c r="AB103" s="21"/>
      <c r="AC103" s="21"/>
      <c r="AD103" s="21"/>
      <c r="AE103" s="21"/>
      <c r="AF103" s="70"/>
      <c r="AG103" s="20"/>
      <c r="AH103" s="21"/>
      <c r="AI103" s="21"/>
      <c r="AJ103" s="22"/>
      <c r="AK103" s="29"/>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44"/>
      <c r="BS103" s="345"/>
      <c r="BT103" s="345"/>
      <c r="BU103" s="343"/>
      <c r="BV103" s="337"/>
      <c r="BW103" s="337"/>
      <c r="BX103" s="337"/>
      <c r="BY103" s="337"/>
      <c r="BZ103" s="337"/>
      <c r="CA103" s="337"/>
      <c r="CB103" s="337"/>
      <c r="CC103" s="337"/>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
      <c r="W104" s="199"/>
      <c r="X104" s="198"/>
      <c r="Y104" s="198"/>
      <c r="Z104" s="198"/>
      <c r="AA104" s="274"/>
      <c r="AB104" s="21"/>
      <c r="AC104" s="21"/>
      <c r="AD104" s="21"/>
      <c r="AE104" s="21"/>
      <c r="AF104" s="70"/>
      <c r="AG104" s="20"/>
      <c r="AH104" s="21"/>
      <c r="AI104" s="21"/>
      <c r="AJ104" s="22"/>
      <c r="AK104" s="29"/>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0</v>
      </c>
      <c r="BI104" s="52">
        <f>O144/1000</f>
        <v>0</v>
      </c>
      <c r="BJ104" s="52">
        <f>P144/1000</f>
        <v>0</v>
      </c>
      <c r="BK104" s="53">
        <f>Q144/1000</f>
        <v>343.12703839698634</v>
      </c>
      <c r="BL104" s="54">
        <f>R144/1000</f>
        <v>0.68318690916527514</v>
      </c>
      <c r="BM104" s="51">
        <f>Q145/1000</f>
        <v>343.12703839698634</v>
      </c>
      <c r="BN104" s="54">
        <f>R145/1000</f>
        <v>0.68318690916527514</v>
      </c>
      <c r="BP104" s="30"/>
      <c r="BQ104" s="30"/>
      <c r="BR104" s="344"/>
      <c r="BS104" s="345"/>
      <c r="BT104" s="345"/>
      <c r="BU104" s="346"/>
      <c r="BV104" s="337"/>
      <c r="BW104" s="337"/>
      <c r="BX104" s="337"/>
      <c r="BY104" s="337"/>
      <c r="BZ104" s="337"/>
      <c r="CA104" s="337"/>
      <c r="CB104" s="337"/>
      <c r="CC104" s="337"/>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
      <c r="W105" s="199"/>
      <c r="X105" s="198"/>
      <c r="Y105" s="198"/>
      <c r="Z105" s="198"/>
      <c r="AA105" s="274"/>
      <c r="AB105" s="21"/>
      <c r="AC105" s="21"/>
      <c r="AD105" s="21"/>
      <c r="AE105" s="21"/>
      <c r="AF105" s="70"/>
      <c r="AG105" s="20"/>
      <c r="AH105" s="21"/>
      <c r="AI105" s="21"/>
      <c r="AJ105" s="22"/>
      <c r="AK105" s="29"/>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62.855657088171519</v>
      </c>
      <c r="BI105" s="52">
        <f>AH144/1000</f>
        <v>49.635635797374974</v>
      </c>
      <c r="BJ105" s="52">
        <f>AI144/1000</f>
        <v>0</v>
      </c>
      <c r="BK105" s="53">
        <f>AJ144/1000</f>
        <v>112.49129288554649</v>
      </c>
      <c r="BL105" s="54">
        <f>AK144/1000</f>
        <v>0.22397704084621389</v>
      </c>
      <c r="BM105" s="51">
        <f>AJ145/1000</f>
        <v>112.49129288554649</v>
      </c>
      <c r="BN105" s="54">
        <f>AK145/1000</f>
        <v>0.22397704084621389</v>
      </c>
      <c r="BR105" s="337"/>
      <c r="BS105" s="337"/>
      <c r="BT105" s="337"/>
      <c r="BU105" s="346"/>
      <c r="BV105" s="337"/>
      <c r="BW105" s="337"/>
      <c r="BX105" s="337"/>
      <c r="BY105" s="337"/>
      <c r="BZ105" s="337"/>
      <c r="CA105" s="337"/>
      <c r="CB105" s="337"/>
      <c r="CC105" s="337"/>
    </row>
    <row r="106" spans="1:81" s="106" customFormat="1">
      <c r="A106" s="699"/>
      <c r="B106" s="107" t="s">
        <v>67</v>
      </c>
      <c r="C106" s="108"/>
      <c r="D106" s="109"/>
      <c r="E106" s="110"/>
      <c r="F106" s="110"/>
      <c r="G106" s="111"/>
      <c r="H106" s="110"/>
      <c r="I106" s="112">
        <f>D144*'[2]Lfill en &amp; composn'!B$133</f>
        <v>7979.8992106486467</v>
      </c>
      <c r="J106" s="113">
        <f>E144*'[2]C&amp;I composn'!$E$10</f>
        <v>8532.0642823642575</v>
      </c>
      <c r="K106" s="113">
        <f>F144*'[2]Lfill en &amp; composn'!C$133</f>
        <v>14186.604543869829</v>
      </c>
      <c r="L106" s="114">
        <f>SUM(I106:K106)</f>
        <v>30698.568036882731</v>
      </c>
      <c r="M106" s="110"/>
      <c r="N106" s="112"/>
      <c r="O106" s="113"/>
      <c r="P106" s="113"/>
      <c r="Q106" s="114">
        <f>L106</f>
        <v>30698.568036882731</v>
      </c>
      <c r="R106" s="115">
        <f>Q106/[2]Popn!$G$41*1000</f>
        <v>61.12272559719684</v>
      </c>
      <c r="T106" s="109"/>
      <c r="U106" s="110"/>
      <c r="V106" s="110"/>
      <c r="W106" s="203"/>
      <c r="X106" s="130"/>
      <c r="Y106" s="130"/>
      <c r="Z106" s="130"/>
      <c r="AA106" s="276"/>
      <c r="AB106" s="113"/>
      <c r="AC106" s="113">
        <f>$AB$144/$AB$97*AC59</f>
        <v>2033.4731675053956</v>
      </c>
      <c r="AD106" s="113"/>
      <c r="AE106" s="113">
        <f>SUM(AB106:AD106)</f>
        <v>2033.4731675053956</v>
      </c>
      <c r="AF106" s="117"/>
      <c r="AG106" s="112">
        <f>AB106</f>
        <v>0</v>
      </c>
      <c r="AH106" s="113">
        <f>AC106</f>
        <v>2033.4731675053956</v>
      </c>
      <c r="AI106" s="113">
        <f>AD106</f>
        <v>0</v>
      </c>
      <c r="AJ106" s="114">
        <f>SUM(AG106:AI106)</f>
        <v>2033.4731675053956</v>
      </c>
      <c r="AK106" s="118">
        <f>AJ106/[2]Popn!$G$41*1000</f>
        <v>4.048769384857474</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22.307560247385911</v>
      </c>
      <c r="BI106" s="52">
        <f>AZ144/1000</f>
        <v>28.751011277843777</v>
      </c>
      <c r="BJ106" s="52">
        <f>BA144/1000</f>
        <v>0.55172903578238652</v>
      </c>
      <c r="BK106" s="53">
        <f>BB144/1000</f>
        <v>51.610300561012075</v>
      </c>
      <c r="BL106" s="54">
        <f>BC144/1000</f>
        <v>0.10275926340894967</v>
      </c>
      <c r="BM106" s="51">
        <f>BB145/1000</f>
        <v>51.610300561012075</v>
      </c>
      <c r="BN106" s="54">
        <f>BC145/1000</f>
        <v>0.10275926340894967</v>
      </c>
      <c r="BO106" s="6"/>
      <c r="BR106" s="340"/>
      <c r="BS106" s="340"/>
      <c r="BT106" s="340"/>
      <c r="BU106" s="337"/>
      <c r="BV106" s="337"/>
      <c r="BW106" s="337"/>
      <c r="BX106" s="337"/>
      <c r="BY106" s="337"/>
      <c r="BZ106" s="337"/>
      <c r="CA106" s="337"/>
      <c r="CB106" s="337"/>
      <c r="CC106" s="340"/>
    </row>
    <row r="107" spans="1:81">
      <c r="A107" s="699"/>
      <c r="B107" s="23" t="s">
        <v>4</v>
      </c>
      <c r="C107" s="17" t="s">
        <v>19</v>
      </c>
      <c r="D107" s="57"/>
      <c r="E107" s="2"/>
      <c r="F107" s="2"/>
      <c r="G107" s="63"/>
      <c r="H107" s="2"/>
      <c r="I107" s="20"/>
      <c r="J107" s="21">
        <f>E144*'[2]C&amp;I composn'!$E$11</f>
        <v>5670.7339213018613</v>
      </c>
      <c r="K107" s="21"/>
      <c r="L107" s="22"/>
      <c r="M107" s="2"/>
      <c r="N107" s="23"/>
      <c r="O107" s="19"/>
      <c r="P107" s="19"/>
      <c r="Q107" s="19"/>
      <c r="R107" s="33"/>
      <c r="T107" s="201">
        <f>[2]TAS!$G$41</f>
        <v>917</v>
      </c>
      <c r="U107" s="2"/>
      <c r="V107" s="2"/>
      <c r="W107" s="199"/>
      <c r="X107" s="198"/>
      <c r="Y107" s="198"/>
      <c r="Z107" s="198"/>
      <c r="AA107" s="274"/>
      <c r="AB107" s="21">
        <f>T107</f>
        <v>917</v>
      </c>
      <c r="AC107" s="301">
        <f>$AB$144/$AB$97*AC60</f>
        <v>7271.3269191416093</v>
      </c>
      <c r="AD107" s="21"/>
      <c r="AE107" s="21"/>
      <c r="AF107" s="70"/>
      <c r="AG107" s="20"/>
      <c r="AH107" s="21"/>
      <c r="AI107" s="21"/>
      <c r="AJ107" s="22"/>
      <c r="AK107" s="29"/>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17">SUM(BH105:BH106)/BH108</f>
        <v>1</v>
      </c>
      <c r="BI107" s="86">
        <f t="shared" si="17"/>
        <v>1</v>
      </c>
      <c r="BJ107" s="86">
        <f t="shared" si="17"/>
        <v>1</v>
      </c>
      <c r="BK107" s="87">
        <f t="shared" si="17"/>
        <v>0.32352588782325642</v>
      </c>
      <c r="BL107" s="87">
        <f t="shared" si="17"/>
        <v>0.32352588782325647</v>
      </c>
      <c r="BM107" s="88">
        <f t="shared" si="17"/>
        <v>0.32352588782325642</v>
      </c>
      <c r="BN107" s="87">
        <f t="shared" si="17"/>
        <v>0.32352588782325647</v>
      </c>
      <c r="BR107" s="337"/>
      <c r="BS107" s="337"/>
      <c r="BT107" s="337"/>
      <c r="BU107" s="340"/>
      <c r="BV107" s="340"/>
      <c r="BW107" s="340"/>
      <c r="BX107" s="340"/>
      <c r="BY107" s="340"/>
      <c r="BZ107" s="340"/>
      <c r="CA107" s="340"/>
      <c r="CB107" s="340"/>
      <c r="CC107" s="337"/>
    </row>
    <row r="108" spans="1:81">
      <c r="A108" s="699"/>
      <c r="B108" s="23"/>
      <c r="C108" s="17" t="s">
        <v>20</v>
      </c>
      <c r="D108" s="57"/>
      <c r="E108" s="2"/>
      <c r="F108" s="2"/>
      <c r="G108" s="63"/>
      <c r="H108" s="2"/>
      <c r="I108" s="20"/>
      <c r="J108" s="21">
        <f>E144*'[2]C&amp;I composn'!$E$12</f>
        <v>736.84371533826607</v>
      </c>
      <c r="K108" s="21"/>
      <c r="L108" s="22"/>
      <c r="M108" s="2"/>
      <c r="N108" s="23"/>
      <c r="O108" s="19"/>
      <c r="P108" s="19"/>
      <c r="Q108" s="19"/>
      <c r="R108" s="33"/>
      <c r="T108" s="201">
        <f>[2]TAS!$G$40</f>
        <v>321</v>
      </c>
      <c r="U108" s="2"/>
      <c r="V108" s="2"/>
      <c r="W108" s="199"/>
      <c r="X108" s="198"/>
      <c r="Y108" s="198"/>
      <c r="Z108" s="198"/>
      <c r="AA108" s="274"/>
      <c r="AB108" s="21">
        <f>T108</f>
        <v>321</v>
      </c>
      <c r="AC108" s="301">
        <f>$AB$144/$AB$97*AC61</f>
        <v>816.12887490030323</v>
      </c>
      <c r="AD108" s="21"/>
      <c r="AE108" s="21"/>
      <c r="AF108" s="70"/>
      <c r="AG108" s="20"/>
      <c r="AH108" s="21"/>
      <c r="AI108" s="21"/>
      <c r="AJ108" s="22"/>
      <c r="AK108" s="29"/>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18">SUM(BH104:BH106)</f>
        <v>85.163217335557434</v>
      </c>
      <c r="BI108" s="52">
        <f t="shared" si="18"/>
        <v>78.386647075218747</v>
      </c>
      <c r="BJ108" s="52">
        <f t="shared" si="18"/>
        <v>0.55172903578238652</v>
      </c>
      <c r="BK108" s="74">
        <f t="shared" si="18"/>
        <v>507.22863184354492</v>
      </c>
      <c r="BL108" s="76">
        <f t="shared" si="18"/>
        <v>1.0099232134204386</v>
      </c>
      <c r="BM108" s="81">
        <f t="shared" si="18"/>
        <v>507.22863184354492</v>
      </c>
      <c r="BN108" s="76">
        <f t="shared" si="18"/>
        <v>1.0099232134204386</v>
      </c>
      <c r="BR108" s="337"/>
      <c r="BS108" s="337"/>
      <c r="BT108" s="337"/>
      <c r="BU108" s="337"/>
      <c r="BV108" s="337"/>
      <c r="BW108" s="337"/>
      <c r="BX108" s="337"/>
      <c r="BY108" s="337"/>
      <c r="BZ108" s="337"/>
      <c r="CA108" s="337"/>
      <c r="CB108" s="337"/>
      <c r="CC108" s="337"/>
    </row>
    <row r="109" spans="1:81">
      <c r="A109" s="699"/>
      <c r="B109" s="23"/>
      <c r="C109" s="17" t="s">
        <v>21</v>
      </c>
      <c r="D109" s="57"/>
      <c r="E109" s="2"/>
      <c r="F109" s="2"/>
      <c r="G109" s="63"/>
      <c r="H109" s="2"/>
      <c r="I109" s="20"/>
      <c r="J109" s="21">
        <f>E144*'[2]C&amp;I composn'!$E$13</f>
        <v>1.244589657871142</v>
      </c>
      <c r="K109" s="21"/>
      <c r="L109" s="22"/>
      <c r="M109" s="2"/>
      <c r="N109" s="23"/>
      <c r="O109" s="19"/>
      <c r="P109" s="19"/>
      <c r="Q109" s="19"/>
      <c r="R109" s="33"/>
      <c r="T109" s="201"/>
      <c r="U109" s="2"/>
      <c r="V109" s="2"/>
      <c r="W109" s="199"/>
      <c r="X109" s="198"/>
      <c r="Y109" s="198"/>
      <c r="Z109" s="198"/>
      <c r="AA109" s="274"/>
      <c r="AB109" s="21"/>
      <c r="AC109" s="301">
        <f>$AB$144/$AB$97*AC62</f>
        <v>2.2380516634776133</v>
      </c>
      <c r="AD109" s="21"/>
      <c r="AE109" s="21"/>
      <c r="AF109" s="70"/>
      <c r="AG109" s="20"/>
      <c r="AH109" s="21"/>
      <c r="AI109" s="21"/>
      <c r="AJ109" s="22"/>
      <c r="AK109" s="29"/>
      <c r="AL109" s="19"/>
      <c r="AM109" s="57"/>
      <c r="AN109" s="2"/>
      <c r="AO109" s="2"/>
      <c r="AP109" s="63"/>
      <c r="AQ109" s="68"/>
      <c r="AR109" s="21"/>
      <c r="AS109" s="21"/>
      <c r="AT109" s="21"/>
      <c r="AU109" s="25"/>
      <c r="AV109" s="21"/>
      <c r="AW109" s="22"/>
      <c r="AX109" s="2"/>
      <c r="AY109" s="23"/>
      <c r="AZ109" s="19"/>
      <c r="BA109" s="19"/>
      <c r="BB109" s="19"/>
      <c r="BC109" s="24"/>
      <c r="BD109" s="30"/>
      <c r="BR109" s="337"/>
      <c r="BS109" s="337"/>
      <c r="BT109" s="337"/>
      <c r="BU109" s="337"/>
      <c r="BV109" s="337"/>
      <c r="BW109" s="337"/>
      <c r="BX109" s="337"/>
      <c r="BY109" s="337"/>
      <c r="BZ109" s="337"/>
      <c r="CA109" s="337"/>
      <c r="CB109" s="337"/>
      <c r="CC109" s="337"/>
    </row>
    <row r="110" spans="1:81" s="106" customFormat="1">
      <c r="A110" s="699"/>
      <c r="B110" s="107" t="s">
        <v>67</v>
      </c>
      <c r="C110" s="108"/>
      <c r="D110" s="109"/>
      <c r="E110" s="110"/>
      <c r="F110" s="110"/>
      <c r="G110" s="111"/>
      <c r="H110" s="110"/>
      <c r="I110" s="112">
        <f>D144*'[2]Lfill en &amp; composn'!B$134</f>
        <v>5561.7406720976796</v>
      </c>
      <c r="J110" s="113">
        <f>SUM(J107:J109)</f>
        <v>6408.8222262979989</v>
      </c>
      <c r="K110" s="113">
        <f>F144*'[2]Lfill en &amp; composn'!C$134</f>
        <v>880.99923144719276</v>
      </c>
      <c r="L110" s="114">
        <f>SUM(I110:K110)</f>
        <v>12851.56212984287</v>
      </c>
      <c r="M110" s="110"/>
      <c r="N110" s="112"/>
      <c r="O110" s="113"/>
      <c r="P110" s="113"/>
      <c r="Q110" s="114">
        <f>L110</f>
        <v>12851.56212984287</v>
      </c>
      <c r="R110" s="115">
        <f>Q110/[2]Popn!$G$41*1000</f>
        <v>25.588245830031813</v>
      </c>
      <c r="T110" s="202"/>
      <c r="U110" s="110"/>
      <c r="V110" s="110"/>
      <c r="W110" s="203"/>
      <c r="X110" s="130"/>
      <c r="Y110" s="130"/>
      <c r="Z110" s="130"/>
      <c r="AA110" s="276"/>
      <c r="AB110" s="113">
        <f>SUM(AB107:AB109)</f>
        <v>1238</v>
      </c>
      <c r="AC110" s="113">
        <f>SUM(AC107:AC109)</f>
        <v>8089.6938457053902</v>
      </c>
      <c r="AD110" s="113"/>
      <c r="AE110" s="113">
        <f>SUM(AB110:AD110)</f>
        <v>9327.6938457053911</v>
      </c>
      <c r="AF110" s="117"/>
      <c r="AG110" s="112">
        <f>AB110</f>
        <v>1238</v>
      </c>
      <c r="AH110" s="113">
        <f>AC110</f>
        <v>8089.6938457053902</v>
      </c>
      <c r="AI110" s="113">
        <f>AD110</f>
        <v>0</v>
      </c>
      <c r="AJ110" s="114">
        <f>SUM(AG110:AI110)</f>
        <v>9327.6938457053911</v>
      </c>
      <c r="AK110" s="118">
        <f>AJ110/[2]Popn!$G$41*1000</f>
        <v>18.572008658538273</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427"/>
      <c r="BK110" s="428"/>
      <c r="BL110" s="6"/>
      <c r="BM110" s="6"/>
      <c r="BN110" s="6"/>
      <c r="BO110" s="6"/>
      <c r="BU110" s="6"/>
      <c r="BV110" s="6"/>
      <c r="BW110" s="6"/>
      <c r="BX110" s="6"/>
      <c r="BY110" s="6"/>
      <c r="BZ110" s="6"/>
      <c r="CA110" s="6"/>
      <c r="CB110" s="6"/>
      <c r="CC110" s="6"/>
    </row>
    <row r="111" spans="1:81">
      <c r="A111" s="699"/>
      <c r="B111" s="23" t="s">
        <v>2</v>
      </c>
      <c r="C111" s="17" t="s">
        <v>22</v>
      </c>
      <c r="D111" s="57"/>
      <c r="E111" s="2"/>
      <c r="F111" s="2"/>
      <c r="G111" s="63"/>
      <c r="H111" s="2"/>
      <c r="I111" s="20"/>
      <c r="J111" s="21">
        <f>E144*'[2]C&amp;I composn'!$E$14</f>
        <v>53497.834415470716</v>
      </c>
      <c r="K111" s="21"/>
      <c r="L111" s="22"/>
      <c r="M111" s="2"/>
      <c r="N111" s="20"/>
      <c r="O111" s="21"/>
      <c r="P111" s="21"/>
      <c r="Q111" s="21"/>
      <c r="R111" s="34"/>
      <c r="T111" s="201"/>
      <c r="U111" s="2"/>
      <c r="V111" s="2"/>
      <c r="W111" s="199"/>
      <c r="X111" s="198"/>
      <c r="Y111" s="198"/>
      <c r="Z111" s="198"/>
      <c r="AA111" s="274"/>
      <c r="AB111" s="21"/>
      <c r="AC111" s="21"/>
      <c r="AD111" s="21"/>
      <c r="AE111" s="21"/>
      <c r="AF111" s="70"/>
      <c r="AG111" s="20"/>
      <c r="AH111" s="21"/>
      <c r="AI111" s="21"/>
      <c r="AJ111" s="22"/>
      <c r="AK111" s="29"/>
      <c r="AL111" s="19"/>
      <c r="AM111" s="57"/>
      <c r="AN111" s="2"/>
      <c r="AO111" s="2"/>
      <c r="AP111" s="63"/>
      <c r="AQ111" s="70"/>
      <c r="AR111" s="21">
        <f>L116*'[2]Lfill en &amp; composn'!$D$82/SUM('[2]Lfill en &amp; composn'!$G$82,'[2]Lfill en &amp; composn'!$G$84:$G$85,'[2]Lfill en &amp; composn'!$G$87:$G$88)*'[2]Lfill en &amp; composn'!$D$16</f>
        <v>8946.8312097177823</v>
      </c>
      <c r="AS111" s="35">
        <f>AR111/SUM($AR$101:$AR$143)</f>
        <v>0.29179913488669262</v>
      </c>
      <c r="AT111" s="21">
        <f>AS111*'[2]Lfill en &amp; composn'!$G$62/'[2]Lfill en &amp; composn'!$B$16</f>
        <v>25066.212419250875</v>
      </c>
      <c r="AU111" s="25"/>
      <c r="AV111" s="21"/>
      <c r="AW111" s="22"/>
      <c r="AX111" s="82"/>
      <c r="AY111" s="20"/>
      <c r="AZ111" s="21"/>
      <c r="BA111" s="21"/>
      <c r="BB111" s="21"/>
      <c r="BC111" s="29"/>
      <c r="BD111" s="30"/>
    </row>
    <row r="112" spans="1:81">
      <c r="A112" s="699"/>
      <c r="B112" s="23"/>
      <c r="C112" s="17" t="s">
        <v>23</v>
      </c>
      <c r="D112" s="57"/>
      <c r="E112" s="2"/>
      <c r="F112" s="2"/>
      <c r="G112" s="63"/>
      <c r="H112" s="2"/>
      <c r="I112" s="20"/>
      <c r="J112" s="21">
        <f>E144*'[2]C&amp;I composn'!$E$15</f>
        <v>1982.5186171743858</v>
      </c>
      <c r="K112" s="21"/>
      <c r="L112" s="22"/>
      <c r="M112" s="2"/>
      <c r="N112" s="20"/>
      <c r="O112" s="21"/>
      <c r="P112" s="21"/>
      <c r="Q112" s="21"/>
      <c r="R112" s="34"/>
      <c r="T112" s="201"/>
      <c r="U112" s="2"/>
      <c r="V112" s="2"/>
      <c r="W112" s="199"/>
      <c r="X112" s="198"/>
      <c r="Y112" s="198"/>
      <c r="Z112" s="198"/>
      <c r="AA112" s="274"/>
      <c r="AB112" s="21"/>
      <c r="AC112" s="21"/>
      <c r="AD112" s="21"/>
      <c r="AE112" s="21"/>
      <c r="AF112" s="70"/>
      <c r="AG112" s="20"/>
      <c r="AH112" s="21"/>
      <c r="AI112" s="21"/>
      <c r="AJ112" s="22"/>
      <c r="AK112" s="29"/>
      <c r="AL112" s="19"/>
      <c r="AM112" s="57"/>
      <c r="AN112" s="2"/>
      <c r="AO112" s="2"/>
      <c r="AP112" s="63"/>
      <c r="AQ112" s="68"/>
      <c r="AR112" s="21">
        <f>L116*'[2]Lfill en &amp; composn'!$D$84/SUM('[2]Lfill en &amp; composn'!$G$82,'[2]Lfill en &amp; composn'!$G$84:$G$85,'[2]Lfill en &amp; composn'!$G$87:$G$88)*'[2]Lfill en &amp; composn'!$D$18</f>
        <v>3146.9762030314346</v>
      </c>
      <c r="AS112" s="35">
        <f>AR112/SUM($AR$101:$AR$143)</f>
        <v>0.10263800803083974</v>
      </c>
      <c r="AT112" s="21">
        <f>AS112*'[2]Lfill en &amp; composn'!$G$62/'[2]Lfill en &amp; composn'!$B$18</f>
        <v>6612.6295557442754</v>
      </c>
      <c r="AU112" s="25"/>
      <c r="AV112" s="21"/>
      <c r="AW112" s="22"/>
      <c r="AX112" s="2"/>
      <c r="AY112" s="20"/>
      <c r="AZ112" s="21"/>
      <c r="BA112" s="21"/>
      <c r="BB112" s="21"/>
      <c r="BC112" s="29"/>
      <c r="BD112" s="36"/>
    </row>
    <row r="113" spans="1:80">
      <c r="A113" s="699"/>
      <c r="B113" s="23"/>
      <c r="C113" s="17" t="s">
        <v>24</v>
      </c>
      <c r="D113" s="57"/>
      <c r="E113" s="2"/>
      <c r="F113" s="2"/>
      <c r="G113" s="63"/>
      <c r="H113" s="2"/>
      <c r="I113" s="20"/>
      <c r="J113" s="21">
        <f>E144*'[2]C&amp;I composn'!$E$16</f>
        <v>17767.130247478384</v>
      </c>
      <c r="K113" s="21"/>
      <c r="L113" s="22"/>
      <c r="M113" s="2"/>
      <c r="N113" s="20"/>
      <c r="O113" s="21"/>
      <c r="P113" s="21"/>
      <c r="Q113" s="21"/>
      <c r="R113" s="34"/>
      <c r="T113" s="201"/>
      <c r="U113" s="2"/>
      <c r="V113" s="2"/>
      <c r="W113" s="199"/>
      <c r="X113" s="198"/>
      <c r="Y113" s="198"/>
      <c r="Z113" s="198"/>
      <c r="AA113" s="274"/>
      <c r="AB113" s="21"/>
      <c r="AC113" s="21"/>
      <c r="AD113" s="21"/>
      <c r="AE113" s="21"/>
      <c r="AF113" s="70"/>
      <c r="AG113" s="20"/>
      <c r="AH113" s="21"/>
      <c r="AI113" s="21"/>
      <c r="AJ113" s="22"/>
      <c r="AK113" s="29"/>
      <c r="AL113" s="19"/>
      <c r="AM113" s="57"/>
      <c r="AN113" s="2"/>
      <c r="AO113" s="2"/>
      <c r="AP113" s="63"/>
      <c r="AQ113" s="70"/>
      <c r="AR113" s="21">
        <f>L116*'[2]Lfill en &amp; composn'!$D$85/SUM('[2]Lfill en &amp; composn'!$G$82,'[2]Lfill en &amp; composn'!$G$84:$G$85,'[2]Lfill en &amp; composn'!$G$87:$G$88)*'[2]Lfill en &amp; composn'!$D$19</f>
        <v>1850.9052925924093</v>
      </c>
      <c r="AS113" s="35">
        <f>AR113/SUM($AR$101:$AR$143)</f>
        <v>6.0366910973913668E-2</v>
      </c>
      <c r="AT113" s="21">
        <f>AS113*'[2]Lfill en &amp; composn'!$G$62/'[2]Lfill en &amp; composn'!$B$19</f>
        <v>1808.9496227255613</v>
      </c>
      <c r="AU113" s="25"/>
      <c r="AV113" s="21"/>
      <c r="AW113" s="22"/>
      <c r="AX113" s="2"/>
      <c r="AY113" s="20"/>
      <c r="AZ113" s="21"/>
      <c r="BA113" s="21"/>
      <c r="BB113" s="21"/>
      <c r="BC113" s="29"/>
    </row>
    <row r="114" spans="1:80">
      <c r="A114" s="699"/>
      <c r="B114" s="23"/>
      <c r="C114" s="17" t="s">
        <v>25</v>
      </c>
      <c r="D114" s="57"/>
      <c r="E114" s="2"/>
      <c r="F114" s="2"/>
      <c r="G114" s="63"/>
      <c r="H114" s="2"/>
      <c r="I114" s="20"/>
      <c r="J114" s="21">
        <f>E144*'[2]C&amp;I composn'!$E$17</f>
        <v>15688.496652994827</v>
      </c>
      <c r="K114" s="21"/>
      <c r="L114" s="22"/>
      <c r="M114" s="2"/>
      <c r="N114" s="20"/>
      <c r="O114" s="21"/>
      <c r="P114" s="21"/>
      <c r="Q114" s="21"/>
      <c r="R114" s="34"/>
      <c r="T114" s="201"/>
      <c r="U114" s="2"/>
      <c r="V114" s="2"/>
      <c r="W114" s="199"/>
      <c r="X114" s="198"/>
      <c r="Y114" s="198"/>
      <c r="Z114" s="198"/>
      <c r="AA114" s="274"/>
      <c r="AB114" s="21"/>
      <c r="AC114" s="21"/>
      <c r="AD114" s="21"/>
      <c r="AE114" s="21"/>
      <c r="AF114" s="70"/>
      <c r="AG114" s="20"/>
      <c r="AH114" s="21"/>
      <c r="AI114" s="21"/>
      <c r="AJ114" s="22"/>
      <c r="AK114" s="29"/>
      <c r="AL114" s="19"/>
      <c r="AM114" s="57"/>
      <c r="AN114" s="2"/>
      <c r="AO114" s="2"/>
      <c r="AP114" s="63"/>
      <c r="AQ114" s="68"/>
      <c r="AR114" s="21">
        <f>L116*'[2]Lfill en &amp; composn'!$D$93/SUM('[2]Lfill en &amp; composn'!$G$82,'[2]Lfill en &amp; composn'!$G$84:$G$85,'[2]Lfill en &amp; composn'!$G$87:$G$88)*'[2]Lfill en &amp; composn'!$D$24</f>
        <v>811.5039646002524</v>
      </c>
      <c r="AS114" s="35">
        <f>AR114/SUM($AR$101:$AR$143)</f>
        <v>2.6467041713078697E-2</v>
      </c>
      <c r="AT114" s="21">
        <f>AS114*'[2]Lfill en &amp; composn'!$G$62/'[2]Lfill en &amp; composn'!$B$24</f>
        <v>1420.9870985969883</v>
      </c>
      <c r="AU114" s="25"/>
      <c r="AV114" s="21"/>
      <c r="AW114" s="22"/>
      <c r="AX114" s="83"/>
      <c r="AY114" s="20"/>
      <c r="AZ114" s="21"/>
      <c r="BA114" s="21"/>
      <c r="BB114" s="21"/>
      <c r="BC114" s="29"/>
    </row>
    <row r="115" spans="1:80">
      <c r="A115" s="699"/>
      <c r="B115" s="23"/>
      <c r="C115" s="17" t="s">
        <v>0</v>
      </c>
      <c r="D115" s="201"/>
      <c r="E115" s="2"/>
      <c r="F115" s="2"/>
      <c r="G115" s="199"/>
      <c r="H115" s="198">
        <f>[2]Biosolids!$G$198</f>
        <v>13956</v>
      </c>
      <c r="I115" s="112"/>
      <c r="J115" s="113"/>
      <c r="K115" s="113"/>
      <c r="L115" s="22"/>
      <c r="M115" s="68" t="s">
        <v>193</v>
      </c>
      <c r="N115" s="20"/>
      <c r="O115" s="19"/>
      <c r="P115" s="19"/>
      <c r="Q115" s="19"/>
      <c r="R115" s="34"/>
      <c r="T115" s="201"/>
      <c r="U115" s="2"/>
      <c r="V115" s="2"/>
      <c r="W115" s="199"/>
      <c r="X115" s="198"/>
      <c r="Y115" s="198"/>
      <c r="Z115" s="198"/>
      <c r="AA115" s="278">
        <f>[2]Biosolids!$G$197</f>
        <v>17985</v>
      </c>
      <c r="AB115" s="21">
        <f>AA115</f>
        <v>17985</v>
      </c>
      <c r="AC115" s="21"/>
      <c r="AD115" s="21"/>
      <c r="AE115" s="21"/>
      <c r="AF115" s="68" t="s">
        <v>193</v>
      </c>
      <c r="AG115" s="20"/>
      <c r="AH115" s="21"/>
      <c r="AI115" s="21"/>
      <c r="AJ115" s="22"/>
      <c r="AK115" s="29"/>
      <c r="AL115" s="19"/>
      <c r="AM115" s="57"/>
      <c r="AN115" s="2"/>
      <c r="AO115" s="2"/>
      <c r="AP115" s="63"/>
      <c r="AQ115" s="68"/>
      <c r="AR115" s="21">
        <f>L116*'[2]Lfill en &amp; composn'!$D$87/SUM('[2]Lfill en &amp; composn'!$G$82,'[2]Lfill en &amp; composn'!$G$84:$G$85,'[2]Lfill en &amp; composn'!$G$87:$G$88)*'[2]Lfill en &amp; composn'!$D$21</f>
        <v>20.641452587942471</v>
      </c>
      <c r="AS115" s="35">
        <f>AR115/SUM($AR$101:$AR$143)</f>
        <v>6.7321690403906586E-4</v>
      </c>
      <c r="AT115" s="21">
        <f>AS115*'[2]Lfill en &amp; composn'!$G$62/'[2]Lfill en &amp; composn'!$B$21</f>
        <v>173.49261087521373</v>
      </c>
      <c r="AU115" s="25"/>
      <c r="AV115" s="21"/>
      <c r="AW115" s="22"/>
      <c r="AX115" s="2"/>
      <c r="AY115" s="23"/>
      <c r="AZ115" s="19"/>
      <c r="BA115" s="19"/>
      <c r="BB115" s="21"/>
      <c r="BC115" s="24"/>
    </row>
    <row r="116" spans="1:80" s="106" customFormat="1">
      <c r="A116" s="699"/>
      <c r="B116" s="107" t="s">
        <v>67</v>
      </c>
      <c r="C116" s="108"/>
      <c r="D116" s="109"/>
      <c r="E116" s="110"/>
      <c r="F116" s="110"/>
      <c r="G116" s="111"/>
      <c r="H116" s="110"/>
      <c r="I116" s="112">
        <f>D144*'[2]Lfill en &amp; composn'!B$135</f>
        <v>90044.05</v>
      </c>
      <c r="J116" s="113">
        <f>SUM(J111:J115)</f>
        <v>88935.979933118317</v>
      </c>
      <c r="K116" s="113">
        <f>F144*'[2]Lfill en &amp; composn'!C$135</f>
        <v>2035.68</v>
      </c>
      <c r="L116" s="114">
        <f>SUM(I116:K116)</f>
        <v>181015.70993311831</v>
      </c>
      <c r="M116" s="110"/>
      <c r="N116" s="112"/>
      <c r="O116" s="113"/>
      <c r="P116" s="113"/>
      <c r="Q116" s="114">
        <f>L116-AT116</f>
        <v>145933.4386259254</v>
      </c>
      <c r="R116" s="115">
        <f>Q116/[2]Popn!$G$41*1000</f>
        <v>290.56239736886329</v>
      </c>
      <c r="T116" s="202"/>
      <c r="U116" s="110"/>
      <c r="V116" s="110"/>
      <c r="W116" s="203">
        <f>[2]TAS!$G$16</f>
        <v>25446</v>
      </c>
      <c r="X116" s="130"/>
      <c r="Y116" s="130"/>
      <c r="Z116" s="130"/>
      <c r="AA116" s="276"/>
      <c r="AB116" s="113">
        <f>$W116*Vic!AG116/SUM(Vic!$AG116:$AH116)</f>
        <v>13977.138754838179</v>
      </c>
      <c r="AC116" s="113">
        <f>$W116*Vic!AH116/SUM(Vic!$AG116:$AH116)</f>
        <v>11468.861245161821</v>
      </c>
      <c r="AD116" s="113"/>
      <c r="AE116" s="113">
        <f>SUM(AB116:AD116)</f>
        <v>25446</v>
      </c>
      <c r="AF116" s="70" t="s">
        <v>98</v>
      </c>
      <c r="AG116" s="112">
        <f>AB116</f>
        <v>13977.138754838179</v>
      </c>
      <c r="AH116" s="113">
        <f>AC116</f>
        <v>11468.861245161821</v>
      </c>
      <c r="AI116" s="113">
        <f>AD116</f>
        <v>0</v>
      </c>
      <c r="AJ116" s="114">
        <f>SUM(AG116:AI116)</f>
        <v>25446</v>
      </c>
      <c r="AK116" s="118">
        <f>AJ116/[2]Popn!$G$41*1000</f>
        <v>50.664541540752793</v>
      </c>
      <c r="AL116" s="119"/>
      <c r="AM116" s="109"/>
      <c r="AN116" s="110"/>
      <c r="AO116" s="110"/>
      <c r="AP116" s="111"/>
      <c r="AQ116" s="116"/>
      <c r="AR116" s="113"/>
      <c r="AS116" s="113"/>
      <c r="AT116" s="113">
        <f>SUM(AT111:AT115)</f>
        <v>35082.27130719291</v>
      </c>
      <c r="AU116" s="120">
        <f>$AT116*I116/SUM($I116:$K116)</f>
        <v>17451.246595478442</v>
      </c>
      <c r="AV116" s="113">
        <f>$AT116*J116/SUM($I116:$K116)</f>
        <v>17236.493882975832</v>
      </c>
      <c r="AW116" s="114">
        <f>$AT116*K116/SUM($I116:$K116)</f>
        <v>394.53082873864014</v>
      </c>
      <c r="AX116" s="110"/>
      <c r="AY116" s="241">
        <f>AU116</f>
        <v>17451.246595478442</v>
      </c>
      <c r="AZ116" s="242">
        <f>AV116</f>
        <v>17236.493882975832</v>
      </c>
      <c r="BA116" s="242">
        <f>AW116</f>
        <v>394.53082873864014</v>
      </c>
      <c r="BB116" s="243">
        <f>AT116+AP116</f>
        <v>35082.27130719291</v>
      </c>
      <c r="BC116" s="118">
        <f>BB116/[2]Popn!$G$41*1000</f>
        <v>69.850946788777605</v>
      </c>
      <c r="BD116" s="122"/>
      <c r="BG116" s="146"/>
      <c r="BH116" s="138" t="s">
        <v>72</v>
      </c>
      <c r="BI116" s="138" t="s">
        <v>68</v>
      </c>
      <c r="BJ116" s="138" t="s">
        <v>69</v>
      </c>
      <c r="BK116" s="138" t="s">
        <v>73</v>
      </c>
      <c r="BL116" s="138" t="s">
        <v>78</v>
      </c>
      <c r="BM116" s="6"/>
      <c r="BN116" s="6"/>
      <c r="BO116" s="6"/>
      <c r="BU116" s="6"/>
      <c r="BV116" s="6"/>
      <c r="BW116" s="6"/>
      <c r="BX116" s="6"/>
      <c r="BY116" s="6"/>
      <c r="BZ116" s="6"/>
      <c r="CA116" s="6"/>
      <c r="CB116" s="6"/>
    </row>
    <row r="117" spans="1:80">
      <c r="A117" s="699"/>
      <c r="B117" s="23" t="s">
        <v>5</v>
      </c>
      <c r="C117" s="17" t="s">
        <v>26</v>
      </c>
      <c r="D117" s="57"/>
      <c r="E117" s="2"/>
      <c r="F117" s="2"/>
      <c r="G117" s="63"/>
      <c r="H117" s="2"/>
      <c r="I117" s="20"/>
      <c r="J117" s="21">
        <f>E144*'[2]C&amp;I composn'!$E$18</f>
        <v>28666.187783774112</v>
      </c>
      <c r="K117" s="21"/>
      <c r="L117" s="22"/>
      <c r="M117" s="2"/>
      <c r="N117" s="23"/>
      <c r="O117" s="19"/>
      <c r="P117" s="19"/>
      <c r="Q117" s="19"/>
      <c r="R117" s="33"/>
      <c r="T117" s="201"/>
      <c r="U117" s="2"/>
      <c r="V117" s="2"/>
      <c r="W117" s="199"/>
      <c r="X117" s="198"/>
      <c r="Y117" s="198"/>
      <c r="Z117" s="198"/>
      <c r="AA117" s="274"/>
      <c r="AB117" s="21"/>
      <c r="AC117" s="301">
        <f>$AB$144/$AB$97*AC70</f>
        <v>16618.665574519047</v>
      </c>
      <c r="AD117" s="21"/>
      <c r="AE117" s="21"/>
      <c r="AF117" s="70"/>
      <c r="AG117" s="20"/>
      <c r="AH117" s="21"/>
      <c r="AI117" s="21"/>
      <c r="AJ117" s="22"/>
      <c r="AK117" s="29"/>
      <c r="AL117" s="19"/>
      <c r="AM117" s="57"/>
      <c r="AN117" s="2"/>
      <c r="AO117" s="2"/>
      <c r="AP117" s="63"/>
      <c r="AQ117" s="68"/>
      <c r="AR117" s="21"/>
      <c r="AS117" s="21"/>
      <c r="AT117" s="21"/>
      <c r="AU117" s="240"/>
      <c r="AV117" s="19"/>
      <c r="AW117" s="195"/>
      <c r="AX117" s="2"/>
      <c r="AY117" s="238"/>
      <c r="BB117" s="19"/>
      <c r="BC117" s="24"/>
      <c r="BG117" s="147" t="s">
        <v>3</v>
      </c>
      <c r="BH117" s="52">
        <f>Q106/1000</f>
        <v>30.69856803688273</v>
      </c>
      <c r="BI117" s="52">
        <f>AJ106/1000</f>
        <v>2.0334731675053956</v>
      </c>
      <c r="BJ117" s="52">
        <f>BB106/1000</f>
        <v>0</v>
      </c>
      <c r="BK117" s="137">
        <f>SUM(BI117:BJ117)/BL117</f>
        <v>6.2124850534307163E-2</v>
      </c>
      <c r="BL117" s="52">
        <f>SUM(BH117:BJ117)</f>
        <v>32.732041204388125</v>
      </c>
      <c r="BU117" s="106"/>
      <c r="BV117" s="106"/>
      <c r="BW117" s="106"/>
      <c r="BX117" s="106"/>
      <c r="BY117" s="106"/>
      <c r="BZ117" s="106"/>
      <c r="CA117" s="106"/>
      <c r="CB117" s="106"/>
    </row>
    <row r="118" spans="1:80">
      <c r="A118" s="699"/>
      <c r="B118" s="23"/>
      <c r="C118" s="17" t="s">
        <v>27</v>
      </c>
      <c r="D118" s="57"/>
      <c r="E118" s="2"/>
      <c r="F118" s="2"/>
      <c r="G118" s="63"/>
      <c r="H118" s="2"/>
      <c r="I118" s="20"/>
      <c r="J118" s="725">
        <f>E144*'[2]C&amp;I composn'!$E$20</f>
        <v>9424.1179288878302</v>
      </c>
      <c r="K118" s="21"/>
      <c r="L118" s="22"/>
      <c r="M118" s="2"/>
      <c r="N118" s="23"/>
      <c r="O118" s="19"/>
      <c r="P118" s="19"/>
      <c r="Q118" s="19"/>
      <c r="R118" s="33"/>
      <c r="T118" s="201"/>
      <c r="U118" s="2"/>
      <c r="V118" s="2"/>
      <c r="W118" s="199"/>
      <c r="X118" s="198"/>
      <c r="Y118" s="198"/>
      <c r="Z118" s="198"/>
      <c r="AA118" s="274"/>
      <c r="AB118" s="21"/>
      <c r="AD118" s="21"/>
      <c r="AE118" s="21"/>
      <c r="AF118" s="70"/>
      <c r="AG118" s="20"/>
      <c r="AH118" s="21"/>
      <c r="AI118" s="21"/>
      <c r="AJ118" s="22"/>
      <c r="AK118" s="29"/>
      <c r="AL118" s="19"/>
      <c r="AM118" s="57"/>
      <c r="AN118" s="2"/>
      <c r="AO118" s="2"/>
      <c r="AP118" s="63"/>
      <c r="AQ118" s="68"/>
      <c r="AR118" s="21"/>
      <c r="AS118" s="21"/>
      <c r="AT118" s="21"/>
      <c r="AU118" s="240"/>
      <c r="AV118" s="19"/>
      <c r="AW118" s="195"/>
      <c r="AX118" s="2"/>
      <c r="AY118" s="238"/>
      <c r="BB118" s="19"/>
      <c r="BC118" s="24"/>
      <c r="BG118" s="147" t="s">
        <v>4</v>
      </c>
      <c r="BH118" s="52">
        <f>Q110/1000</f>
        <v>12.85156212984287</v>
      </c>
      <c r="BI118" s="52">
        <f>AJ110/1000</f>
        <v>9.327693845705392</v>
      </c>
      <c r="BJ118" s="52">
        <f>BB110/1000</f>
        <v>0</v>
      </c>
      <c r="BK118" s="137">
        <f t="shared" ref="BK118:BK125" si="19">SUM(BI118:BJ118)/BL118</f>
        <v>0.42055936664371424</v>
      </c>
      <c r="BL118" s="52">
        <f t="shared" ref="BL118:BL125" si="20">SUM(BH118:BJ118)</f>
        <v>22.179255975548262</v>
      </c>
    </row>
    <row r="119" spans="1:80">
      <c r="A119" s="699"/>
      <c r="B119" s="23"/>
      <c r="C119" s="17" t="s">
        <v>28</v>
      </c>
      <c r="D119" s="57"/>
      <c r="E119" s="2"/>
      <c r="F119" s="2"/>
      <c r="G119" s="63"/>
      <c r="H119" s="2"/>
      <c r="I119" s="20"/>
      <c r="J119" s="725"/>
      <c r="K119" s="21"/>
      <c r="L119" s="22"/>
      <c r="M119" s="2"/>
      <c r="N119" s="23"/>
      <c r="O119" s="19"/>
      <c r="P119" s="19"/>
      <c r="Q119" s="19"/>
      <c r="R119" s="33"/>
      <c r="T119" s="201"/>
      <c r="U119" s="2"/>
      <c r="V119" s="2"/>
      <c r="W119" s="199"/>
      <c r="X119" s="198"/>
      <c r="Y119" s="198"/>
      <c r="Z119" s="198"/>
      <c r="AA119" s="274"/>
      <c r="AB119" s="21"/>
      <c r="AC119" s="301">
        <f>$AB$144/$AB$97*AC72</f>
        <v>2555.996123599014</v>
      </c>
      <c r="AD119" s="21"/>
      <c r="AE119" s="21"/>
      <c r="AF119" s="70"/>
      <c r="AG119" s="20"/>
      <c r="AH119" s="21"/>
      <c r="AI119" s="21"/>
      <c r="AJ119" s="22"/>
      <c r="AK119" s="29"/>
      <c r="AL119" s="19"/>
      <c r="AM119" s="57"/>
      <c r="AN119" s="2"/>
      <c r="AO119" s="2"/>
      <c r="AP119" s="63"/>
      <c r="AQ119" s="68"/>
      <c r="AR119" s="21"/>
      <c r="AS119" s="21"/>
      <c r="AT119" s="21"/>
      <c r="AU119" s="240"/>
      <c r="AV119" s="19"/>
      <c r="AW119" s="195"/>
      <c r="AX119" s="2"/>
      <c r="AY119" s="238"/>
      <c r="BB119" s="19"/>
      <c r="BC119" s="24"/>
      <c r="BG119" s="147" t="s">
        <v>2</v>
      </c>
      <c r="BH119" s="52">
        <f>Q116/1000</f>
        <v>145.93343862592539</v>
      </c>
      <c r="BI119" s="52">
        <f>AJ116/1000</f>
        <v>25.446000000000002</v>
      </c>
      <c r="BJ119" s="52">
        <f>BB116/1000</f>
        <v>35.082271307192912</v>
      </c>
      <c r="BK119" s="137">
        <f t="shared" si="19"/>
        <v>0.29316947596142928</v>
      </c>
      <c r="BL119" s="52">
        <f t="shared" si="20"/>
        <v>206.4617099331183</v>
      </c>
    </row>
    <row r="120" spans="1:80">
      <c r="A120" s="699"/>
      <c r="B120" s="23"/>
      <c r="C120" s="17" t="s">
        <v>29</v>
      </c>
      <c r="D120" s="57"/>
      <c r="E120" s="2"/>
      <c r="F120" s="2"/>
      <c r="G120" s="63"/>
      <c r="H120" s="2"/>
      <c r="I120" s="20"/>
      <c r="J120" s="21">
        <f>E144*'[2]C&amp;I composn'!$E$19</f>
        <v>14067.649883355629</v>
      </c>
      <c r="K120" s="21"/>
      <c r="L120" s="22"/>
      <c r="M120" s="2"/>
      <c r="N120" s="23"/>
      <c r="O120" s="19"/>
      <c r="P120" s="19"/>
      <c r="Q120" s="19"/>
      <c r="R120" s="33"/>
      <c r="T120" s="201"/>
      <c r="U120" s="2"/>
      <c r="V120" s="2"/>
      <c r="W120" s="199"/>
      <c r="X120" s="198"/>
      <c r="Y120" s="198"/>
      <c r="Z120" s="198"/>
      <c r="AA120" s="274"/>
      <c r="AB120" s="21"/>
      <c r="AC120" s="301">
        <f>$AB$144/$AB$97*AC73</f>
        <v>6352.4948073498854</v>
      </c>
      <c r="AD120" s="21"/>
      <c r="AE120" s="21"/>
      <c r="AF120" s="70"/>
      <c r="AG120" s="20"/>
      <c r="AH120" s="21"/>
      <c r="AI120" s="21"/>
      <c r="AJ120" s="22"/>
      <c r="AK120" s="29"/>
      <c r="AL120" s="19"/>
      <c r="AM120" s="57"/>
      <c r="AN120" s="2"/>
      <c r="AO120" s="2"/>
      <c r="AP120" s="63"/>
      <c r="AQ120" s="68"/>
      <c r="AR120" s="21"/>
      <c r="AS120" s="21"/>
      <c r="AT120" s="21"/>
      <c r="AU120" s="240"/>
      <c r="AV120" s="19"/>
      <c r="AW120" s="195"/>
      <c r="AX120" s="2"/>
      <c r="AY120" s="238"/>
      <c r="BB120" s="19"/>
      <c r="BC120" s="24"/>
      <c r="BG120" s="147" t="s">
        <v>5</v>
      </c>
      <c r="BH120" s="52">
        <f>Q121/1000</f>
        <v>58.475313869737874</v>
      </c>
      <c r="BI120" s="52">
        <f>AJ121/1000</f>
        <v>65.852156505467946</v>
      </c>
      <c r="BJ120" s="52">
        <f>BB121/1000</f>
        <v>15.164121726279703</v>
      </c>
      <c r="BK120" s="137">
        <f t="shared" si="19"/>
        <v>0.5807968567224121</v>
      </c>
      <c r="BL120" s="52">
        <f t="shared" si="20"/>
        <v>139.49159210148554</v>
      </c>
    </row>
    <row r="121" spans="1:80" s="106" customFormat="1">
      <c r="A121" s="699"/>
      <c r="B121" s="107" t="s">
        <v>67</v>
      </c>
      <c r="C121" s="108"/>
      <c r="D121" s="109"/>
      <c r="E121" s="110"/>
      <c r="F121" s="110"/>
      <c r="G121" s="111"/>
      <c r="H121" s="110"/>
      <c r="I121" s="112">
        <f>D144*'[2]Lfill en &amp; composn'!B$136</f>
        <v>20718.100000000002</v>
      </c>
      <c r="J121" s="113">
        <f>SUM(J117:J120)</f>
        <v>52157.955596017564</v>
      </c>
      <c r="K121" s="113">
        <f>F144*'[2]Lfill en &amp; composn'!C$136</f>
        <v>763.38</v>
      </c>
      <c r="L121" s="114">
        <f>SUM(I121:K121)</f>
        <v>73639.435596017574</v>
      </c>
      <c r="M121" s="110"/>
      <c r="N121" s="112"/>
      <c r="O121" s="113"/>
      <c r="P121" s="113"/>
      <c r="Q121" s="114">
        <f>L121-AT121</f>
        <v>58475.313869737874</v>
      </c>
      <c r="R121" s="115">
        <f>Q121/[2]Popn!$G$41*1000</f>
        <v>116.42792457210926</v>
      </c>
      <c r="T121" s="202">
        <f>SUM([2]TAS!$G$36:$G$37)</f>
        <v>40325</v>
      </c>
      <c r="U121" s="110"/>
      <c r="V121" s="110"/>
      <c r="W121" s="203"/>
      <c r="X121" s="130"/>
      <c r="Y121" s="130"/>
      <c r="Z121" s="130"/>
      <c r="AA121" s="276"/>
      <c r="AB121" s="113">
        <f>T121</f>
        <v>40325</v>
      </c>
      <c r="AC121" s="113">
        <f>SUM(AC117:AC120)</f>
        <v>25527.156505467949</v>
      </c>
      <c r="AD121" s="113"/>
      <c r="AE121" s="113">
        <f>SUM(AB121:AD121)</f>
        <v>65852.156505467952</v>
      </c>
      <c r="AF121" s="117"/>
      <c r="AG121" s="112">
        <f>AB121</f>
        <v>40325</v>
      </c>
      <c r="AH121" s="113">
        <f>AC121</f>
        <v>25527.156505467949</v>
      </c>
      <c r="AI121" s="113">
        <f>AD121</f>
        <v>0</v>
      </c>
      <c r="AJ121" s="114">
        <f>SUM(AG121:AI121)</f>
        <v>65852.156505467952</v>
      </c>
      <c r="AK121" s="118">
        <f>AJ121/[2]Popn!$G$41*1000</f>
        <v>131.11566921399964</v>
      </c>
      <c r="AL121" s="119"/>
      <c r="AM121" s="109"/>
      <c r="AN121" s="110"/>
      <c r="AO121" s="110"/>
      <c r="AP121" s="111"/>
      <c r="AQ121" s="117"/>
      <c r="AR121" s="113">
        <f>L121*'[2]Lfill en &amp; composn'!$D$17</f>
        <v>14433.329376819445</v>
      </c>
      <c r="AS121" s="123">
        <f>AR121/SUM($AR$101:$AR$143)</f>
        <v>0.47074019023808672</v>
      </c>
      <c r="AT121" s="113">
        <f>AS121*'[2]Lfill en &amp; composn'!$G$62/'[2]Lfill en &amp; composn'!$B$17</f>
        <v>15164.121726279704</v>
      </c>
      <c r="AU121" s="120">
        <f>$AT121*I121/SUM($I121:$K121)</f>
        <v>4266.3525024929168</v>
      </c>
      <c r="AV121" s="113">
        <f>$AT121*J121/SUM($I121:$K121)</f>
        <v>10740.571016743039</v>
      </c>
      <c r="AW121" s="114">
        <f>$AT121*K121/SUM($I121:$K121)</f>
        <v>157.19820704374641</v>
      </c>
      <c r="AX121" s="110"/>
      <c r="AY121" s="241">
        <f>AU121</f>
        <v>4266.3525024929168</v>
      </c>
      <c r="AZ121" s="242">
        <f>AV121</f>
        <v>10740.571016743039</v>
      </c>
      <c r="BA121" s="242">
        <f>AW121</f>
        <v>157.19820704374641</v>
      </c>
      <c r="BB121" s="114">
        <f>AT121+AP121</f>
        <v>15164.121726279704</v>
      </c>
      <c r="BC121" s="118">
        <f>BB121/[2]Popn!$G$41*1000</f>
        <v>30.192693355738818</v>
      </c>
      <c r="BD121" s="122"/>
      <c r="BG121" s="147" t="s">
        <v>6</v>
      </c>
      <c r="BH121" s="52">
        <f>Q131/1000</f>
        <v>46.858126638178376</v>
      </c>
      <c r="BI121" s="52">
        <f>AJ131/1000</f>
        <v>0.82566666666666666</v>
      </c>
      <c r="BJ121" s="52">
        <f>BB131/1000</f>
        <v>0</v>
      </c>
      <c r="BK121" s="137">
        <f t="shared" si="19"/>
        <v>1.7315456876262666E-2</v>
      </c>
      <c r="BL121" s="52">
        <f t="shared" si="20"/>
        <v>47.68379330484504</v>
      </c>
      <c r="BM121" s="6"/>
      <c r="BN121" s="6"/>
      <c r="BO121" s="6"/>
      <c r="BU121" s="6"/>
      <c r="BV121" s="6"/>
      <c r="BW121" s="6"/>
      <c r="BX121" s="6"/>
      <c r="BY121" s="6"/>
      <c r="BZ121" s="6"/>
      <c r="CA121" s="6"/>
      <c r="CB121" s="6"/>
    </row>
    <row r="122" spans="1:80">
      <c r="A122" s="699"/>
      <c r="B122" s="23" t="s">
        <v>6</v>
      </c>
      <c r="C122" s="17" t="s">
        <v>30</v>
      </c>
      <c r="D122" s="57"/>
      <c r="E122" s="2"/>
      <c r="F122" s="2"/>
      <c r="G122" s="63"/>
      <c r="H122" s="2"/>
      <c r="I122" s="20"/>
      <c r="J122" s="21"/>
      <c r="K122" s="21"/>
      <c r="L122" s="22"/>
      <c r="M122" s="2"/>
      <c r="N122" s="23"/>
      <c r="O122" s="19"/>
      <c r="P122" s="19"/>
      <c r="Q122" s="19"/>
      <c r="R122" s="33"/>
      <c r="T122" s="201"/>
      <c r="U122" s="2"/>
      <c r="V122" s="2"/>
      <c r="W122" s="199"/>
      <c r="X122" s="198"/>
      <c r="Y122" s="198"/>
      <c r="Z122" s="198"/>
      <c r="AA122" s="274"/>
      <c r="AB122" s="21"/>
      <c r="AC122" s="21"/>
      <c r="AD122" s="21"/>
      <c r="AE122" s="21"/>
      <c r="AF122" s="70"/>
      <c r="AG122" s="20"/>
      <c r="AH122" s="21"/>
      <c r="AI122" s="21"/>
      <c r="AJ122" s="22"/>
      <c r="AK122" s="29"/>
      <c r="AL122" s="19"/>
      <c r="AM122" s="57"/>
      <c r="AN122" s="2"/>
      <c r="AO122" s="2"/>
      <c r="AP122" s="63"/>
      <c r="AQ122" s="68"/>
      <c r="AR122" s="21"/>
      <c r="AS122" s="21"/>
      <c r="AT122" s="21"/>
      <c r="AU122" s="240"/>
      <c r="AV122" s="19"/>
      <c r="AW122" s="195"/>
      <c r="AX122" s="2"/>
      <c r="AY122" s="238"/>
      <c r="BB122" s="19"/>
      <c r="BC122" s="24"/>
      <c r="BG122" s="147" t="s">
        <v>8</v>
      </c>
      <c r="BH122" s="52">
        <f>Q132/1000</f>
        <v>9.7363494618395752</v>
      </c>
      <c r="BI122" s="52">
        <f>AJ132/1000</f>
        <v>8.6401504514674308</v>
      </c>
      <c r="BJ122" s="52">
        <f>BB132/1000</f>
        <v>0</v>
      </c>
      <c r="BK122" s="137">
        <f t="shared" si="19"/>
        <v>0.47017389014383654</v>
      </c>
      <c r="BL122" s="52">
        <f t="shared" si="20"/>
        <v>18.376499913307008</v>
      </c>
      <c r="BU122" s="106"/>
      <c r="BV122" s="106"/>
      <c r="BW122" s="106"/>
      <c r="BX122" s="106"/>
      <c r="BY122" s="106"/>
      <c r="BZ122" s="106"/>
      <c r="CA122" s="106"/>
      <c r="CB122" s="106"/>
    </row>
    <row r="123" spans="1:80">
      <c r="A123" s="699"/>
      <c r="B123" s="23"/>
      <c r="C123" s="17" t="s">
        <v>31</v>
      </c>
      <c r="D123" s="57"/>
      <c r="E123" s="2"/>
      <c r="F123" s="2"/>
      <c r="G123" s="63"/>
      <c r="H123" s="2"/>
      <c r="I123" s="20"/>
      <c r="J123" s="21"/>
      <c r="K123" s="21"/>
      <c r="L123" s="22"/>
      <c r="M123" s="2"/>
      <c r="N123" s="23"/>
      <c r="O123" s="19"/>
      <c r="P123" s="19"/>
      <c r="Q123" s="19"/>
      <c r="R123" s="33"/>
      <c r="T123" s="201"/>
      <c r="U123" s="2"/>
      <c r="V123" s="2"/>
      <c r="W123" s="199"/>
      <c r="X123" s="198"/>
      <c r="Y123" s="198"/>
      <c r="Z123" s="198"/>
      <c r="AA123" s="274"/>
      <c r="AB123" s="21"/>
      <c r="AC123" s="21"/>
      <c r="AD123" s="21"/>
      <c r="AE123" s="21"/>
      <c r="AF123" s="70"/>
      <c r="AG123" s="20"/>
      <c r="AH123" s="21"/>
      <c r="AI123" s="21"/>
      <c r="AJ123" s="22"/>
      <c r="AK123" s="29"/>
      <c r="AL123" s="19"/>
      <c r="AM123" s="57"/>
      <c r="AN123" s="2"/>
      <c r="AO123" s="2"/>
      <c r="AP123" s="63"/>
      <c r="AQ123" s="68"/>
      <c r="AR123" s="21"/>
      <c r="AS123" s="21"/>
      <c r="AT123" s="21"/>
      <c r="AU123" s="240"/>
      <c r="AV123" s="19"/>
      <c r="AW123" s="195"/>
      <c r="AX123" s="2"/>
      <c r="AY123" s="238"/>
      <c r="BB123" s="19"/>
      <c r="BC123" s="24"/>
      <c r="BG123" s="147" t="s">
        <v>7</v>
      </c>
      <c r="BH123" s="52">
        <f>Q135/1000</f>
        <v>9.211027831225266</v>
      </c>
      <c r="BI123" s="52">
        <f>AJ135/1000</f>
        <v>0.36615224873365287</v>
      </c>
      <c r="BJ123" s="52">
        <f>BB135/1000</f>
        <v>1.3639075275394603</v>
      </c>
      <c r="BK123" s="137">
        <f t="shared" si="19"/>
        <v>0.15812502726762115</v>
      </c>
      <c r="BL123" s="52">
        <f t="shared" si="20"/>
        <v>10.94108760749838</v>
      </c>
    </row>
    <row r="124" spans="1:80">
      <c r="A124" s="699"/>
      <c r="B124" s="23"/>
      <c r="C124" s="17" t="s">
        <v>32</v>
      </c>
      <c r="D124" s="57"/>
      <c r="E124" s="2"/>
      <c r="F124" s="2"/>
      <c r="G124" s="63"/>
      <c r="H124" s="2"/>
      <c r="I124" s="20"/>
      <c r="J124" s="21"/>
      <c r="K124" s="21"/>
      <c r="L124" s="22"/>
      <c r="M124" s="2"/>
      <c r="N124" s="23"/>
      <c r="O124" s="19"/>
      <c r="P124" s="19"/>
      <c r="Q124" s="19"/>
      <c r="R124" s="33"/>
      <c r="T124" s="201"/>
      <c r="U124" s="2"/>
      <c r="V124" s="2"/>
      <c r="W124" s="199"/>
      <c r="X124" s="198"/>
      <c r="Y124" s="198"/>
      <c r="Z124" s="198"/>
      <c r="AA124" s="274"/>
      <c r="AB124" s="21"/>
      <c r="AC124" s="21"/>
      <c r="AD124" s="21"/>
      <c r="AE124" s="21"/>
      <c r="AF124" s="70"/>
      <c r="AG124" s="20"/>
      <c r="AH124" s="21"/>
      <c r="AI124" s="21"/>
      <c r="AJ124" s="22"/>
      <c r="AK124" s="29"/>
      <c r="AL124" s="19"/>
      <c r="AM124" s="57"/>
      <c r="AN124" s="2"/>
      <c r="AO124" s="2"/>
      <c r="AP124" s="63"/>
      <c r="AQ124" s="68"/>
      <c r="AR124" s="21"/>
      <c r="AS124" s="21"/>
      <c r="AT124" s="21"/>
      <c r="AU124" s="240"/>
      <c r="AV124" s="19"/>
      <c r="AW124" s="195"/>
      <c r="AX124" s="2"/>
      <c r="AY124" s="238"/>
      <c r="BB124" s="19"/>
      <c r="BC124" s="24"/>
      <c r="BG124" s="147" t="s">
        <v>11</v>
      </c>
      <c r="BH124" s="52">
        <f>Q140/1000</f>
        <v>29.362651803354229</v>
      </c>
      <c r="BI124" s="52">
        <f>AJ140/1000</f>
        <v>0</v>
      </c>
      <c r="BJ124" s="52">
        <f>BB140/1000</f>
        <v>0</v>
      </c>
      <c r="BK124" s="137">
        <f t="shared" si="19"/>
        <v>0</v>
      </c>
      <c r="BL124" s="52">
        <f t="shared" si="20"/>
        <v>29.362651803354229</v>
      </c>
    </row>
    <row r="125" spans="1:80" s="90" customFormat="1">
      <c r="A125" s="699"/>
      <c r="B125" s="91" t="s">
        <v>42</v>
      </c>
      <c r="C125" s="92"/>
      <c r="D125" s="93"/>
      <c r="E125" s="94"/>
      <c r="F125" s="94"/>
      <c r="G125" s="95"/>
      <c r="H125" s="94"/>
      <c r="I125" s="96"/>
      <c r="J125" s="97"/>
      <c r="K125" s="97"/>
      <c r="L125" s="98"/>
      <c r="M125" s="94"/>
      <c r="N125" s="96"/>
      <c r="O125" s="97"/>
      <c r="P125" s="97"/>
      <c r="Q125" s="97"/>
      <c r="R125" s="99"/>
      <c r="T125" s="292"/>
      <c r="U125" s="94"/>
      <c r="V125" s="94"/>
      <c r="W125" s="211"/>
      <c r="X125" s="289"/>
      <c r="Y125" s="289"/>
      <c r="Z125" s="289"/>
      <c r="AA125" s="280"/>
      <c r="AB125" s="97"/>
      <c r="AC125" s="97"/>
      <c r="AD125" s="97"/>
      <c r="AE125" s="97"/>
      <c r="AF125" s="101"/>
      <c r="AG125" s="96"/>
      <c r="AH125" s="97"/>
      <c r="AI125" s="97"/>
      <c r="AJ125" s="98"/>
      <c r="AK125" s="102"/>
      <c r="AL125" s="103"/>
      <c r="AM125" s="93"/>
      <c r="AN125" s="94"/>
      <c r="AO125" s="94"/>
      <c r="AP125" s="95"/>
      <c r="AQ125" s="100"/>
      <c r="AR125" s="97"/>
      <c r="AS125" s="128"/>
      <c r="AT125" s="128"/>
      <c r="AU125" s="104"/>
      <c r="AV125" s="97"/>
      <c r="AW125" s="98"/>
      <c r="AX125" s="94"/>
      <c r="AY125" s="239"/>
      <c r="BB125" s="97"/>
      <c r="BC125" s="105"/>
      <c r="BG125" s="147" t="s">
        <v>1</v>
      </c>
      <c r="BH125" s="52">
        <f>Q141/1000</f>
        <v>0</v>
      </c>
      <c r="BI125" s="52">
        <f>AJ141/1000</f>
        <v>0</v>
      </c>
      <c r="BJ125" s="52">
        <f>BB141/1000</f>
        <v>0</v>
      </c>
      <c r="BK125" s="137" t="e">
        <f t="shared" si="19"/>
        <v>#DIV/0!</v>
      </c>
      <c r="BL125" s="52">
        <f t="shared" si="20"/>
        <v>0</v>
      </c>
      <c r="BM125" s="6"/>
      <c r="BN125" s="6"/>
      <c r="BO125" s="6"/>
      <c r="BU125" s="6"/>
      <c r="BV125" s="6"/>
      <c r="BW125" s="6"/>
      <c r="BX125" s="6"/>
      <c r="BY125" s="6"/>
      <c r="BZ125" s="6"/>
      <c r="CA125" s="6"/>
      <c r="CB125" s="6"/>
    </row>
    <row r="126" spans="1:80">
      <c r="A126" s="699"/>
      <c r="B126" s="23"/>
      <c r="C126" s="17" t="s">
        <v>33</v>
      </c>
      <c r="D126" s="57"/>
      <c r="E126" s="2"/>
      <c r="F126" s="2"/>
      <c r="G126" s="63"/>
      <c r="H126" s="2"/>
      <c r="I126" s="20"/>
      <c r="J126" s="21"/>
      <c r="K126" s="21"/>
      <c r="L126" s="22"/>
      <c r="M126" s="2"/>
      <c r="N126" s="23"/>
      <c r="O126" s="19"/>
      <c r="P126" s="19"/>
      <c r="Q126" s="19"/>
      <c r="R126" s="33"/>
      <c r="T126" s="201"/>
      <c r="U126" s="2"/>
      <c r="V126" s="2"/>
      <c r="W126" s="199"/>
      <c r="X126" s="198"/>
      <c r="Y126" s="198"/>
      <c r="Z126" s="198"/>
      <c r="AA126" s="274"/>
      <c r="AB126" s="21"/>
      <c r="AC126" s="21"/>
      <c r="AD126" s="21"/>
      <c r="AE126" s="21"/>
      <c r="AF126" s="70"/>
      <c r="AG126" s="20"/>
      <c r="AH126" s="21"/>
      <c r="AI126" s="21"/>
      <c r="AJ126" s="22"/>
      <c r="AK126" s="29"/>
      <c r="AL126" s="19"/>
      <c r="AM126" s="57"/>
      <c r="AN126" s="2"/>
      <c r="AO126" s="2"/>
      <c r="AP126" s="63"/>
      <c r="AQ126" s="68"/>
      <c r="AR126" s="21"/>
      <c r="AS126" s="21"/>
      <c r="AT126" s="21"/>
      <c r="AU126" s="240"/>
      <c r="AV126" s="19"/>
      <c r="AW126" s="195"/>
      <c r="AX126" s="2"/>
      <c r="AY126" s="238"/>
      <c r="BB126" s="19"/>
      <c r="BC126" s="24"/>
      <c r="BG126" s="142"/>
      <c r="BU126" s="90"/>
      <c r="BV126" s="90"/>
      <c r="BW126" s="90"/>
      <c r="BX126" s="90"/>
      <c r="BY126" s="90"/>
      <c r="BZ126" s="90"/>
      <c r="CA126" s="90"/>
      <c r="CB126" s="90"/>
    </row>
    <row r="127" spans="1:80">
      <c r="A127" s="699"/>
      <c r="B127" s="23"/>
      <c r="C127" s="17" t="s">
        <v>34</v>
      </c>
      <c r="D127" s="57"/>
      <c r="E127" s="2"/>
      <c r="F127" s="2"/>
      <c r="G127" s="63"/>
      <c r="H127" s="2"/>
      <c r="I127" s="20"/>
      <c r="J127" s="21"/>
      <c r="K127" s="21"/>
      <c r="L127" s="22"/>
      <c r="M127" s="2"/>
      <c r="N127" s="23"/>
      <c r="O127" s="19"/>
      <c r="P127" s="19"/>
      <c r="Q127" s="19"/>
      <c r="R127" s="33"/>
      <c r="T127" s="201"/>
      <c r="U127" s="2"/>
      <c r="V127" s="2"/>
      <c r="W127" s="199"/>
      <c r="X127" s="198"/>
      <c r="Y127" s="198"/>
      <c r="Z127" s="198"/>
      <c r="AA127" s="274"/>
      <c r="AB127" s="21"/>
      <c r="AC127" s="21"/>
      <c r="AD127" s="21"/>
      <c r="AE127" s="21"/>
      <c r="AF127" s="70"/>
      <c r="AG127" s="20"/>
      <c r="AH127" s="21"/>
      <c r="AI127" s="21"/>
      <c r="AJ127" s="22"/>
      <c r="AK127" s="29"/>
      <c r="AL127" s="19"/>
      <c r="AM127" s="57"/>
      <c r="AN127" s="2"/>
      <c r="AO127" s="2"/>
      <c r="AP127" s="63"/>
      <c r="AQ127" s="68"/>
      <c r="AR127" s="21"/>
      <c r="AS127" s="21"/>
      <c r="AT127" s="21"/>
      <c r="AU127" s="240"/>
      <c r="AV127" s="19"/>
      <c r="AW127" s="195"/>
      <c r="AX127" s="2"/>
      <c r="AY127" s="238"/>
      <c r="BB127" s="19"/>
      <c r="BC127" s="24"/>
    </row>
    <row r="128" spans="1:80">
      <c r="A128" s="699"/>
      <c r="B128" s="23"/>
      <c r="C128" s="17" t="s">
        <v>35</v>
      </c>
      <c r="D128" s="57"/>
      <c r="E128" s="2"/>
      <c r="F128" s="2"/>
      <c r="G128" s="63"/>
      <c r="H128" s="2"/>
      <c r="I128" s="20"/>
      <c r="J128" s="21"/>
      <c r="K128" s="21"/>
      <c r="L128" s="22"/>
      <c r="M128" s="2"/>
      <c r="N128" s="23"/>
      <c r="O128" s="19"/>
      <c r="P128" s="19"/>
      <c r="Q128" s="19"/>
      <c r="R128" s="33"/>
      <c r="T128" s="201"/>
      <c r="U128" s="2"/>
      <c r="V128" s="2"/>
      <c r="W128" s="199"/>
      <c r="X128" s="198"/>
      <c r="Y128" s="198"/>
      <c r="Z128" s="198"/>
      <c r="AA128" s="274"/>
      <c r="AB128" s="21"/>
      <c r="AC128" s="21"/>
      <c r="AD128" s="21"/>
      <c r="AE128" s="21"/>
      <c r="AF128" s="70"/>
      <c r="AG128" s="20"/>
      <c r="AH128" s="21"/>
      <c r="AI128" s="21"/>
      <c r="AJ128" s="22"/>
      <c r="AK128" s="29"/>
      <c r="AL128" s="19"/>
      <c r="AM128" s="57"/>
      <c r="AN128" s="2"/>
      <c r="AO128" s="2"/>
      <c r="AP128" s="63"/>
      <c r="AQ128" s="68"/>
      <c r="AR128" s="21"/>
      <c r="AS128" s="21"/>
      <c r="AT128" s="21"/>
      <c r="AU128" s="240"/>
      <c r="AV128" s="19"/>
      <c r="AW128" s="195"/>
      <c r="AX128" s="2"/>
      <c r="AY128" s="238"/>
      <c r="BB128" s="19"/>
      <c r="BC128" s="24"/>
    </row>
    <row r="129" spans="1:80">
      <c r="A129" s="699"/>
      <c r="B129" s="23"/>
      <c r="C129" s="17" t="s">
        <v>36</v>
      </c>
      <c r="D129" s="57"/>
      <c r="E129" s="2"/>
      <c r="F129" s="2"/>
      <c r="G129" s="63"/>
      <c r="H129" s="2"/>
      <c r="I129" s="20"/>
      <c r="J129" s="21"/>
      <c r="K129" s="21"/>
      <c r="L129" s="22"/>
      <c r="M129" s="2"/>
      <c r="N129" s="23"/>
      <c r="O129" s="19"/>
      <c r="P129" s="19"/>
      <c r="Q129" s="19"/>
      <c r="R129" s="33"/>
      <c r="T129" s="201"/>
      <c r="U129" s="2"/>
      <c r="V129" s="2"/>
      <c r="W129" s="199"/>
      <c r="X129" s="198"/>
      <c r="Y129" s="198"/>
      <c r="Z129" s="198"/>
      <c r="AA129" s="274"/>
      <c r="AB129" s="21"/>
      <c r="AC129" s="21"/>
      <c r="AD129" s="21"/>
      <c r="AE129" s="21"/>
      <c r="AF129" s="70"/>
      <c r="AG129" s="20"/>
      <c r="AH129" s="21"/>
      <c r="AI129" s="21"/>
      <c r="AJ129" s="22"/>
      <c r="AK129" s="29"/>
      <c r="AL129" s="19"/>
      <c r="AM129" s="57"/>
      <c r="AN129" s="2"/>
      <c r="AO129" s="2"/>
      <c r="AP129" s="63"/>
      <c r="AQ129" s="68"/>
      <c r="AR129" s="21"/>
      <c r="AS129" s="21"/>
      <c r="AT129" s="21"/>
      <c r="AU129" s="240"/>
      <c r="AV129" s="19"/>
      <c r="AW129" s="195"/>
      <c r="AX129" s="2"/>
      <c r="AY129" s="238"/>
      <c r="BB129" s="19"/>
      <c r="BC129" s="24"/>
    </row>
    <row r="130" spans="1:80" s="90" customFormat="1">
      <c r="A130" s="699"/>
      <c r="B130" s="91" t="s">
        <v>43</v>
      </c>
      <c r="C130" s="92"/>
      <c r="D130" s="93"/>
      <c r="E130" s="94"/>
      <c r="F130" s="94"/>
      <c r="G130" s="95"/>
      <c r="H130" s="94"/>
      <c r="I130" s="96"/>
      <c r="J130" s="97"/>
      <c r="K130" s="97"/>
      <c r="L130" s="98"/>
      <c r="M130" s="94"/>
      <c r="N130" s="96"/>
      <c r="O130" s="97"/>
      <c r="P130" s="97"/>
      <c r="Q130" s="97"/>
      <c r="R130" s="99"/>
      <c r="T130" s="292"/>
      <c r="U130" s="94"/>
      <c r="V130" s="94"/>
      <c r="W130" s="211"/>
      <c r="X130" s="289"/>
      <c r="Y130" s="289"/>
      <c r="Z130" s="289"/>
      <c r="AA130" s="280"/>
      <c r="AB130" s="97"/>
      <c r="AC130" s="97"/>
      <c r="AD130" s="97"/>
      <c r="AE130" s="97"/>
      <c r="AF130" s="101"/>
      <c r="AG130" s="96"/>
      <c r="AH130" s="97"/>
      <c r="AI130" s="97"/>
      <c r="AJ130" s="98"/>
      <c r="AK130" s="102"/>
      <c r="AL130" s="103"/>
      <c r="AM130" s="93"/>
      <c r="AN130" s="94"/>
      <c r="AO130" s="94"/>
      <c r="AP130" s="95"/>
      <c r="AQ130" s="100"/>
      <c r="AR130" s="97"/>
      <c r="AS130" s="97"/>
      <c r="AT130" s="97"/>
      <c r="AU130" s="104"/>
      <c r="AV130" s="97"/>
      <c r="AW130" s="98"/>
      <c r="AX130" s="94"/>
      <c r="AY130" s="239"/>
      <c r="BB130" s="97"/>
      <c r="BC130" s="105"/>
      <c r="BG130" s="143"/>
      <c r="BU130" s="6"/>
      <c r="BV130" s="6"/>
      <c r="BW130" s="6"/>
      <c r="BX130" s="6"/>
      <c r="BY130" s="6"/>
      <c r="BZ130" s="6"/>
      <c r="CA130" s="6"/>
      <c r="CB130" s="6"/>
    </row>
    <row r="131" spans="1:80" s="106" customFormat="1">
      <c r="A131" s="699"/>
      <c r="B131" s="107" t="s">
        <v>67</v>
      </c>
      <c r="C131" s="108"/>
      <c r="D131" s="109"/>
      <c r="E131" s="110"/>
      <c r="F131" s="110"/>
      <c r="G131" s="111"/>
      <c r="H131" s="110"/>
      <c r="I131" s="112">
        <f>D144*'[2]Lfill en &amp; composn'!B$137</f>
        <v>20613.833503436123</v>
      </c>
      <c r="J131" s="113">
        <f>E144*SUM('[2]C&amp;I composn'!$E$21:$E$22)</f>
        <v>25489.43109518462</v>
      </c>
      <c r="K131" s="113">
        <f>F144*'[2]Lfill en &amp; composn'!C$137</f>
        <v>754.86203955763426</v>
      </c>
      <c r="L131" s="114">
        <f>SUM(I131:K131)</f>
        <v>46858.126638178379</v>
      </c>
      <c r="M131" s="110"/>
      <c r="N131" s="112"/>
      <c r="O131" s="113"/>
      <c r="P131" s="113"/>
      <c r="Q131" s="114">
        <f>L131</f>
        <v>46858.126638178379</v>
      </c>
      <c r="R131" s="115">
        <f>Q131/[2]Popn!$G$41*1000</f>
        <v>93.297394623195913</v>
      </c>
      <c r="T131" s="202"/>
      <c r="U131" s="130"/>
      <c r="V131" s="130"/>
      <c r="W131" s="203"/>
      <c r="X131" s="130"/>
      <c r="Y131" s="130"/>
      <c r="Z131" s="130"/>
      <c r="AA131" s="285">
        <f>[2]PACIA!$H$41</f>
        <v>825.66666666666663</v>
      </c>
      <c r="AB131" s="113">
        <f>$AA131*[2]PACIA!I41</f>
        <v>177.51833333333329</v>
      </c>
      <c r="AC131" s="113">
        <f>$AA131*[2]PACIA!J41</f>
        <v>648.14833333333331</v>
      </c>
      <c r="AD131" s="113">
        <f>$AA131*[2]PACIA!K41</f>
        <v>0</v>
      </c>
      <c r="AE131" s="113">
        <f>SUM(AB131:AD131)</f>
        <v>825.66666666666663</v>
      </c>
      <c r="AF131" s="117"/>
      <c r="AG131" s="112">
        <f t="shared" ref="AG131:AI132" si="21">AB131</f>
        <v>177.51833333333329</v>
      </c>
      <c r="AH131" s="113">
        <f t="shared" si="21"/>
        <v>648.14833333333331</v>
      </c>
      <c r="AI131" s="113">
        <f t="shared" si="21"/>
        <v>0</v>
      </c>
      <c r="AJ131" s="114">
        <f>SUM(AG131:AI131)</f>
        <v>825.66666666666663</v>
      </c>
      <c r="AK131" s="118">
        <f>AJ131/[2]Popn!$G$41*1000</f>
        <v>1.6439528072053848</v>
      </c>
      <c r="AL131" s="119"/>
      <c r="AM131" s="109"/>
      <c r="AN131" s="110"/>
      <c r="AO131" s="110"/>
      <c r="AP131" s="111"/>
      <c r="AQ131" s="116"/>
      <c r="AR131" s="113"/>
      <c r="AS131" s="113"/>
      <c r="AT131" s="113"/>
      <c r="AU131" s="120"/>
      <c r="AV131" s="113"/>
      <c r="AW131" s="114"/>
      <c r="AX131" s="110"/>
      <c r="AY131" s="237"/>
      <c r="BB131" s="113"/>
      <c r="BC131" s="118">
        <f>BB131/[2]Popn!$G$41*1000</f>
        <v>0</v>
      </c>
      <c r="BG131" s="144"/>
      <c r="BU131" s="90"/>
      <c r="BV131" s="90"/>
      <c r="BW131" s="90"/>
      <c r="BX131" s="90"/>
      <c r="BY131" s="90"/>
      <c r="BZ131" s="90"/>
      <c r="CA131" s="90"/>
      <c r="CB131" s="90"/>
    </row>
    <row r="132" spans="1:80" s="106" customFormat="1">
      <c r="A132" s="699"/>
      <c r="B132" s="37" t="s">
        <v>8</v>
      </c>
      <c r="C132" s="129" t="s">
        <v>8</v>
      </c>
      <c r="D132" s="109"/>
      <c r="E132" s="110"/>
      <c r="F132" s="110"/>
      <c r="G132" s="111"/>
      <c r="H132" s="110"/>
      <c r="I132" s="112">
        <f>D144*'[2]Lfill en &amp; composn'!B$138</f>
        <v>7701.805919841001</v>
      </c>
      <c r="J132" s="113">
        <f>E144*SUM('[2]C&amp;I composn'!$E$23:$E$24)</f>
        <v>1872.7958375201893</v>
      </c>
      <c r="K132" s="113">
        <f>F144*'[2]Lfill en &amp; composn'!C$138</f>
        <v>161.74770447838418</v>
      </c>
      <c r="L132" s="114">
        <f>SUM(I132:K132)</f>
        <v>9736.3494618395744</v>
      </c>
      <c r="M132" s="110"/>
      <c r="N132" s="112"/>
      <c r="O132" s="113"/>
      <c r="P132" s="113"/>
      <c r="Q132" s="114">
        <f>L132</f>
        <v>9736.3494618395744</v>
      </c>
      <c r="R132" s="115">
        <f>Q132/[2]Popn!$G$41*1000</f>
        <v>19.385666971809211</v>
      </c>
      <c r="T132" s="202">
        <f>[2]TAS!$G$38</f>
        <v>7138</v>
      </c>
      <c r="U132" s="110"/>
      <c r="V132" s="110"/>
      <c r="W132" s="203"/>
      <c r="X132" s="198"/>
      <c r="Y132" s="198"/>
      <c r="Z132" s="198"/>
      <c r="AA132" s="276"/>
      <c r="AB132" s="113">
        <f>T132</f>
        <v>7138</v>
      </c>
      <c r="AC132" s="113">
        <f>$AB$144/$AB$97*AC85</f>
        <v>1502.1504514674316</v>
      </c>
      <c r="AD132" s="113"/>
      <c r="AE132" s="113">
        <f>SUM(AB132:AD132)</f>
        <v>8640.1504514674307</v>
      </c>
      <c r="AF132" s="117"/>
      <c r="AG132" s="112">
        <f t="shared" si="21"/>
        <v>7138</v>
      </c>
      <c r="AH132" s="113">
        <f t="shared" si="21"/>
        <v>1502.1504514674316</v>
      </c>
      <c r="AI132" s="113">
        <f t="shared" si="21"/>
        <v>0</v>
      </c>
      <c r="AJ132" s="114">
        <f>SUM(AG132:AI132)</f>
        <v>8640.1504514674307</v>
      </c>
      <c r="AK132" s="118">
        <f>AJ132/[2]Popn!$G$41*1000</f>
        <v>17.203067730359415</v>
      </c>
      <c r="AL132" s="119"/>
      <c r="AM132" s="109"/>
      <c r="AN132" s="110"/>
      <c r="AO132" s="110"/>
      <c r="AP132" s="111"/>
      <c r="AQ132" s="116"/>
      <c r="AR132" s="113"/>
      <c r="AS132" s="113"/>
      <c r="AT132" s="113"/>
      <c r="AU132" s="120"/>
      <c r="AV132" s="113"/>
      <c r="AW132" s="114"/>
      <c r="AX132" s="110"/>
      <c r="AY132" s="237"/>
      <c r="BB132" s="113"/>
      <c r="BC132" s="121"/>
      <c r="BG132" s="144"/>
    </row>
    <row r="133" spans="1:80">
      <c r="A133" s="699"/>
      <c r="B133" s="23" t="s">
        <v>7</v>
      </c>
      <c r="C133" s="17" t="s">
        <v>9</v>
      </c>
      <c r="D133" s="57"/>
      <c r="E133" s="2"/>
      <c r="F133" s="2"/>
      <c r="G133" s="63"/>
      <c r="H133" s="2"/>
      <c r="I133" s="20"/>
      <c r="J133" s="21">
        <f>E144*'[2]C&amp;I composn'!$E$25</f>
        <v>3816.340982245812</v>
      </c>
      <c r="K133" s="21"/>
      <c r="L133" s="22"/>
      <c r="M133" s="2"/>
      <c r="N133" s="20"/>
      <c r="O133" s="21"/>
      <c r="P133" s="21"/>
      <c r="Q133" s="22"/>
      <c r="R133" s="34"/>
      <c r="T133" s="201"/>
      <c r="U133" s="2"/>
      <c r="V133" s="2"/>
      <c r="W133" s="199"/>
      <c r="X133" s="198"/>
      <c r="Y133" s="198"/>
      <c r="Z133" s="198"/>
      <c r="AA133" s="274"/>
      <c r="AB133" s="21"/>
      <c r="AC133" s="301">
        <f>$AB$144/$AB$97*AC86</f>
        <v>246.67236865217518</v>
      </c>
      <c r="AD133" s="21"/>
      <c r="AE133" s="21"/>
      <c r="AF133" s="70"/>
      <c r="AG133" s="20"/>
      <c r="AH133" s="21"/>
      <c r="AI133" s="21"/>
      <c r="AJ133" s="22"/>
      <c r="AK133" s="29"/>
      <c r="AL133" s="19"/>
      <c r="AM133" s="57"/>
      <c r="AN133" s="2"/>
      <c r="AO133" s="2"/>
      <c r="AP133" s="63"/>
      <c r="AQ133" s="68"/>
      <c r="AR133" s="21"/>
      <c r="AS133" s="35"/>
      <c r="AT133" s="21"/>
      <c r="AU133" s="25"/>
      <c r="AV133" s="21"/>
      <c r="AW133" s="22"/>
      <c r="AX133" s="2"/>
      <c r="AY133" s="238"/>
      <c r="BB133" s="21"/>
      <c r="BC133" s="29"/>
      <c r="BU133" s="106"/>
      <c r="BV133" s="106"/>
      <c r="BW133" s="106"/>
      <c r="BX133" s="106"/>
      <c r="BY133" s="106"/>
      <c r="BZ133" s="106"/>
      <c r="CA133" s="106"/>
      <c r="CB133" s="106"/>
    </row>
    <row r="134" spans="1:80">
      <c r="A134" s="699"/>
      <c r="B134" s="23"/>
      <c r="C134" s="17" t="s">
        <v>10</v>
      </c>
      <c r="D134" s="57"/>
      <c r="E134" s="2"/>
      <c r="F134" s="2"/>
      <c r="G134" s="63"/>
      <c r="H134" s="2"/>
      <c r="I134" s="20"/>
      <c r="J134" s="21">
        <f>E144*'[2]C&amp;I composn'!$E$26</f>
        <v>1410.4368489794535</v>
      </c>
      <c r="K134" s="21"/>
      <c r="L134" s="22"/>
      <c r="M134" s="2"/>
      <c r="N134" s="20"/>
      <c r="O134" s="21"/>
      <c r="P134" s="21"/>
      <c r="Q134" s="22"/>
      <c r="R134" s="33"/>
      <c r="T134" s="201"/>
      <c r="U134" s="2"/>
      <c r="V134" s="2"/>
      <c r="W134" s="199"/>
      <c r="X134" s="198"/>
      <c r="Y134" s="198"/>
      <c r="Z134" s="198"/>
      <c r="AA134" s="274"/>
      <c r="AB134" s="21"/>
      <c r="AC134" s="301">
        <f>$AB$144/$AB$97*AC87</f>
        <v>119.47988008147767</v>
      </c>
      <c r="AD134" s="21"/>
      <c r="AE134" s="21"/>
      <c r="AF134" s="70"/>
      <c r="AG134" s="20"/>
      <c r="AH134" s="21"/>
      <c r="AI134" s="21"/>
      <c r="AJ134" s="22"/>
      <c r="AK134" s="29"/>
      <c r="AL134" s="19"/>
      <c r="AM134" s="57"/>
      <c r="AN134" s="2"/>
      <c r="AO134" s="2"/>
      <c r="AP134" s="63"/>
      <c r="AQ134" s="68"/>
      <c r="AR134" s="21"/>
      <c r="AS134" s="21"/>
      <c r="AT134" s="21"/>
      <c r="AU134" s="240"/>
      <c r="AV134" s="21"/>
      <c r="AW134" s="195"/>
      <c r="AX134" s="2"/>
      <c r="AY134" s="238"/>
      <c r="BB134" s="21"/>
      <c r="BC134" s="29"/>
    </row>
    <row r="135" spans="1:80" s="106" customFormat="1">
      <c r="A135" s="699"/>
      <c r="B135" s="107" t="s">
        <v>67</v>
      </c>
      <c r="C135" s="108"/>
      <c r="D135" s="109"/>
      <c r="E135" s="110"/>
      <c r="F135" s="110"/>
      <c r="G135" s="111"/>
      <c r="H135" s="110"/>
      <c r="I135" s="112">
        <f>D144*'[2]Lfill en &amp; composn'!B$139</f>
        <v>3984.25</v>
      </c>
      <c r="J135" s="113">
        <f>SUM(J133:J134)</f>
        <v>5226.7778312252658</v>
      </c>
      <c r="K135" s="113">
        <f>F144*'[2]Lfill en &amp; composn'!C$139</f>
        <v>0</v>
      </c>
      <c r="L135" s="114">
        <f>SUM(I135:K135)</f>
        <v>9211.0278312252667</v>
      </c>
      <c r="M135" s="110"/>
      <c r="N135" s="112"/>
      <c r="O135" s="113"/>
      <c r="P135" s="113"/>
      <c r="Q135" s="114">
        <f>L135</f>
        <v>9211.0278312252667</v>
      </c>
      <c r="R135" s="115">
        <f>Q135/[2]Popn!$G$41*1000</f>
        <v>18.339719491792131</v>
      </c>
      <c r="T135" s="202"/>
      <c r="U135" s="110"/>
      <c r="V135" s="110"/>
      <c r="W135" s="203"/>
      <c r="X135" s="130"/>
      <c r="Y135" s="130"/>
      <c r="Z135" s="130"/>
      <c r="AA135" s="276"/>
      <c r="AB135" s="113"/>
      <c r="AC135" s="113">
        <f>SUM(AC133:AC134)</f>
        <v>366.15224873365287</v>
      </c>
      <c r="AD135" s="113"/>
      <c r="AE135" s="113">
        <f>SUM(AB135:AD135)</f>
        <v>366.15224873365287</v>
      </c>
      <c r="AF135" s="117"/>
      <c r="AG135" s="112">
        <f>AB135</f>
        <v>0</v>
      </c>
      <c r="AH135" s="113">
        <f>AC135</f>
        <v>366.15224873365287</v>
      </c>
      <c r="AI135" s="113">
        <f>AD135</f>
        <v>0</v>
      </c>
      <c r="AJ135" s="114">
        <f>SUM(AG135:AI135)</f>
        <v>366.15224873365287</v>
      </c>
      <c r="AK135" s="118">
        <f>AJ135/[2]Popn!$G$41*1000</f>
        <v>0.72903151050091197</v>
      </c>
      <c r="AL135" s="119"/>
      <c r="AM135" s="109"/>
      <c r="AN135" s="110"/>
      <c r="AO135" s="110"/>
      <c r="AP135" s="111"/>
      <c r="AQ135" s="116"/>
      <c r="AR135" s="113">
        <f>L135*'[2]Lfill en &amp; composn'!$D$25</f>
        <v>1450.7368834179795</v>
      </c>
      <c r="AS135" s="113">
        <f>AR135/SUM($AR$101:$AR$143)</f>
        <v>4.7315497253349471E-2</v>
      </c>
      <c r="AT135" s="113">
        <f>AS135*'[2]Lfill en &amp; composn'!$G$64/'[2]Lfill en &amp; composn'!$B$25</f>
        <v>1363.9075275394603</v>
      </c>
      <c r="AU135" s="120">
        <f>$AT135*I135/SUM($I135:$K135)</f>
        <v>589.96114941455289</v>
      </c>
      <c r="AV135" s="113">
        <f>$AT135*J135/SUM($I135:$K135)</f>
        <v>773.94637812490726</v>
      </c>
      <c r="AW135" s="114">
        <f>$AT135*K135/SUM($I135:$K135)</f>
        <v>0</v>
      </c>
      <c r="AX135" s="110"/>
      <c r="AY135" s="241">
        <f>AU135</f>
        <v>589.96114941455289</v>
      </c>
      <c r="AZ135" s="242">
        <f>AV135</f>
        <v>773.94637812490726</v>
      </c>
      <c r="BA135" s="242">
        <f>AW135</f>
        <v>0</v>
      </c>
      <c r="BB135" s="114">
        <f>AT135+AP135</f>
        <v>1363.9075275394603</v>
      </c>
      <c r="BC135" s="118">
        <f>BB135/[2]Popn!$G$41*1000</f>
        <v>2.7156232644332472</v>
      </c>
      <c r="BD135" s="122"/>
      <c r="BG135" s="144"/>
      <c r="BU135" s="6"/>
      <c r="BV135" s="6"/>
      <c r="BW135" s="6"/>
      <c r="BX135" s="6"/>
      <c r="BY135" s="6"/>
      <c r="BZ135" s="6"/>
      <c r="CA135" s="6"/>
      <c r="CB135" s="6"/>
    </row>
    <row r="136" spans="1:80">
      <c r="A136" s="699"/>
      <c r="B136" s="23" t="s">
        <v>11</v>
      </c>
      <c r="C136" s="17" t="s">
        <v>12</v>
      </c>
      <c r="D136" s="57"/>
      <c r="E136" s="2"/>
      <c r="F136" s="2"/>
      <c r="G136" s="63"/>
      <c r="H136" s="2"/>
      <c r="I136" s="20"/>
      <c r="J136" s="21"/>
      <c r="K136" s="21"/>
      <c r="L136" s="22"/>
      <c r="M136" s="2"/>
      <c r="N136" s="20"/>
      <c r="O136" s="21"/>
      <c r="P136" s="21"/>
      <c r="Q136" s="22"/>
      <c r="R136" s="33"/>
      <c r="T136" s="201"/>
      <c r="U136" s="2"/>
      <c r="V136" s="2"/>
      <c r="W136" s="199"/>
      <c r="X136" s="198"/>
      <c r="Y136" s="198"/>
      <c r="Z136" s="198"/>
      <c r="AA136" s="274"/>
      <c r="AB136" s="21"/>
      <c r="AC136" s="21"/>
      <c r="AD136" s="21"/>
      <c r="AE136" s="21"/>
      <c r="AF136" s="70"/>
      <c r="AG136" s="20"/>
      <c r="AH136" s="21"/>
      <c r="AI136" s="21"/>
      <c r="AJ136" s="22"/>
      <c r="AK136" s="29"/>
      <c r="AL136" s="19"/>
      <c r="AM136" s="57"/>
      <c r="AN136" s="2"/>
      <c r="AO136" s="2"/>
      <c r="AP136" s="63"/>
      <c r="AQ136" s="68"/>
      <c r="AR136" s="21"/>
      <c r="AS136" s="21"/>
      <c r="AT136" s="21"/>
      <c r="AU136" s="25"/>
      <c r="AV136" s="21"/>
      <c r="AW136" s="22"/>
      <c r="AX136" s="2"/>
      <c r="AY136" s="23"/>
      <c r="AZ136" s="19"/>
      <c r="BA136" s="19"/>
      <c r="BB136" s="19"/>
      <c r="BC136" s="24"/>
      <c r="BU136" s="106"/>
      <c r="BV136" s="106"/>
      <c r="BW136" s="106"/>
      <c r="BX136" s="106"/>
      <c r="BY136" s="106"/>
      <c r="BZ136" s="106"/>
      <c r="CA136" s="106"/>
      <c r="CB136" s="106"/>
    </row>
    <row r="137" spans="1:80">
      <c r="A137" s="699"/>
      <c r="B137" s="23"/>
      <c r="C137" s="17" t="s">
        <v>13</v>
      </c>
      <c r="D137" s="57"/>
      <c r="E137" s="2"/>
      <c r="F137" s="2"/>
      <c r="G137" s="156"/>
      <c r="H137" s="3"/>
      <c r="I137" s="20"/>
      <c r="J137" s="21"/>
      <c r="K137" s="21"/>
      <c r="L137" s="22"/>
      <c r="M137" s="83"/>
      <c r="N137" s="20"/>
      <c r="O137" s="21"/>
      <c r="P137" s="21"/>
      <c r="Q137" s="22"/>
      <c r="R137" s="34"/>
      <c r="T137" s="201"/>
      <c r="U137" s="2"/>
      <c r="V137" s="2"/>
      <c r="W137" s="199"/>
      <c r="X137" s="198"/>
      <c r="Y137" s="198"/>
      <c r="Z137" s="198"/>
      <c r="AA137" s="282"/>
      <c r="AB137" s="21"/>
      <c r="AC137" s="21"/>
      <c r="AD137" s="21"/>
      <c r="AE137" s="21"/>
      <c r="AF137" s="70"/>
      <c r="AG137" s="20"/>
      <c r="AH137" s="21"/>
      <c r="AI137" s="21"/>
      <c r="AJ137" s="22"/>
      <c r="AK137" s="29"/>
      <c r="AL137" s="19"/>
      <c r="AM137" s="57"/>
      <c r="AN137" s="2"/>
      <c r="AO137" s="2"/>
      <c r="AP137" s="64"/>
      <c r="AQ137" s="69"/>
      <c r="AR137" s="21"/>
      <c r="AS137" s="21"/>
      <c r="AT137" s="21"/>
      <c r="AU137" s="25"/>
      <c r="AV137" s="21"/>
      <c r="AW137" s="22"/>
      <c r="AX137" s="2"/>
      <c r="AY137" s="20"/>
      <c r="AZ137" s="21"/>
      <c r="BA137" s="21"/>
      <c r="BB137" s="21"/>
      <c r="BC137" s="24"/>
    </row>
    <row r="138" spans="1:80">
      <c r="A138" s="699"/>
      <c r="B138" s="23"/>
      <c r="C138" s="17" t="s">
        <v>14</v>
      </c>
      <c r="D138" s="57"/>
      <c r="E138" s="2"/>
      <c r="F138" s="2"/>
      <c r="G138" s="156"/>
      <c r="H138" s="3"/>
      <c r="I138" s="20"/>
      <c r="J138" s="21"/>
      <c r="K138" s="21"/>
      <c r="L138" s="22"/>
      <c r="M138" s="83"/>
      <c r="N138" s="20"/>
      <c r="O138" s="21"/>
      <c r="P138" s="21"/>
      <c r="Q138" s="22"/>
      <c r="R138" s="34"/>
      <c r="T138" s="57"/>
      <c r="U138" s="2"/>
      <c r="V138" s="2"/>
      <c r="W138" s="199"/>
      <c r="X138" s="198"/>
      <c r="Y138" s="198"/>
      <c r="Z138" s="198"/>
      <c r="AA138" s="282"/>
      <c r="AB138" s="21"/>
      <c r="AC138" s="21"/>
      <c r="AD138" s="21"/>
      <c r="AE138" s="21"/>
      <c r="AF138" s="70"/>
      <c r="AG138" s="20"/>
      <c r="AH138" s="21"/>
      <c r="AI138" s="21"/>
      <c r="AJ138" s="22"/>
      <c r="AK138" s="29"/>
      <c r="AL138" s="19"/>
      <c r="AM138" s="57"/>
      <c r="AN138" s="2"/>
      <c r="AO138" s="2"/>
      <c r="AP138" s="64"/>
      <c r="AQ138" s="69"/>
      <c r="AR138" s="21"/>
      <c r="AS138" s="21"/>
      <c r="AT138" s="21"/>
      <c r="AU138" s="25"/>
      <c r="AV138" s="21"/>
      <c r="AW138" s="22"/>
      <c r="AX138" s="2"/>
      <c r="AY138" s="23"/>
      <c r="AZ138" s="19"/>
      <c r="BA138" s="19"/>
      <c r="BB138" s="21"/>
      <c r="BC138" s="24"/>
    </row>
    <row r="139" spans="1:80">
      <c r="A139" s="699"/>
      <c r="B139" s="23"/>
      <c r="C139" s="17" t="s">
        <v>15</v>
      </c>
      <c r="D139" s="57"/>
      <c r="E139" s="2"/>
      <c r="F139" s="2"/>
      <c r="G139" s="156"/>
      <c r="H139" s="3"/>
      <c r="I139" s="20"/>
      <c r="J139" s="21"/>
      <c r="K139" s="21"/>
      <c r="L139" s="22"/>
      <c r="M139" s="83"/>
      <c r="N139" s="20"/>
      <c r="O139" s="21"/>
      <c r="P139" s="21"/>
      <c r="Q139" s="22"/>
      <c r="R139" s="34"/>
      <c r="T139" s="57"/>
      <c r="U139" s="2"/>
      <c r="V139" s="2"/>
      <c r="W139" s="199"/>
      <c r="X139" s="198"/>
      <c r="Y139" s="198"/>
      <c r="Z139" s="198"/>
      <c r="AA139" s="282"/>
      <c r="AB139" s="21"/>
      <c r="AC139" s="21"/>
      <c r="AD139" s="21"/>
      <c r="AE139" s="21"/>
      <c r="AF139" s="70"/>
      <c r="AG139" s="20"/>
      <c r="AH139" s="21"/>
      <c r="AI139" s="21"/>
      <c r="AJ139" s="22"/>
      <c r="AK139" s="29"/>
      <c r="AL139" s="19"/>
      <c r="AM139" s="57"/>
      <c r="AN139" s="2"/>
      <c r="AO139" s="2"/>
      <c r="AP139" s="64"/>
      <c r="AQ139" s="69"/>
      <c r="AR139" s="21"/>
      <c r="AS139" s="21"/>
      <c r="AT139" s="21"/>
      <c r="AU139" s="25"/>
      <c r="AV139" s="21"/>
      <c r="AW139" s="22"/>
      <c r="AX139" s="2"/>
      <c r="AY139" s="23"/>
      <c r="AZ139" s="19"/>
      <c r="BA139" s="19"/>
      <c r="BB139" s="21"/>
      <c r="BC139" s="24"/>
    </row>
    <row r="140" spans="1:80" s="106" customFormat="1">
      <c r="A140" s="699"/>
      <c r="B140" s="107" t="s">
        <v>67</v>
      </c>
      <c r="C140" s="108"/>
      <c r="D140" s="109"/>
      <c r="E140" s="110"/>
      <c r="F140" s="110"/>
      <c r="G140" s="124"/>
      <c r="H140" s="125"/>
      <c r="I140" s="112">
        <f>D144*'[2]Lfill en &amp; composn'!B$140</f>
        <v>2766.3206939765273</v>
      </c>
      <c r="J140" s="113">
        <f>E144*'[2]C&amp;I composn'!$E$28</f>
        <v>19934.173198271779</v>
      </c>
      <c r="K140" s="113">
        <f>F144*'[2]Lfill en &amp; composn'!C$140</f>
        <v>6662.1579111059255</v>
      </c>
      <c r="L140" s="114">
        <f>SUM(I140:K140)</f>
        <v>29362.651803354231</v>
      </c>
      <c r="M140" s="110"/>
      <c r="N140" s="112"/>
      <c r="O140" s="113"/>
      <c r="P140" s="113"/>
      <c r="Q140" s="114">
        <f>L140</f>
        <v>29362.651803354231</v>
      </c>
      <c r="R140" s="115">
        <f>Q140/[2]Popn!$G$41*1000</f>
        <v>58.462834710276674</v>
      </c>
      <c r="T140" s="109"/>
      <c r="U140" s="110"/>
      <c r="V140" s="110"/>
      <c r="W140" s="203"/>
      <c r="X140" s="130"/>
      <c r="Y140" s="130"/>
      <c r="Z140" s="130"/>
      <c r="AA140" s="284"/>
      <c r="AB140" s="113"/>
      <c r="AC140" s="113"/>
      <c r="AD140" s="113"/>
      <c r="AE140" s="113">
        <f>SUM(AB140:AD140)</f>
        <v>0</v>
      </c>
      <c r="AF140" s="117"/>
      <c r="AG140" s="112">
        <f>AB140</f>
        <v>0</v>
      </c>
      <c r="AH140" s="113">
        <f>AC140</f>
        <v>0</v>
      </c>
      <c r="AI140" s="113">
        <f>AD140</f>
        <v>0</v>
      </c>
      <c r="AJ140" s="114">
        <f>SUM(AG140:AI140)</f>
        <v>0</v>
      </c>
      <c r="AK140" s="118">
        <f>AJ140/[2]Popn!$G$41*1000</f>
        <v>0</v>
      </c>
      <c r="AL140" s="119"/>
      <c r="AM140" s="109"/>
      <c r="AN140" s="110"/>
      <c r="AO140" s="110"/>
      <c r="AP140" s="124"/>
      <c r="AQ140" s="126"/>
      <c r="AR140" s="113"/>
      <c r="AS140" s="113"/>
      <c r="AT140" s="113"/>
      <c r="AU140" s="120"/>
      <c r="AV140" s="113"/>
      <c r="AW140" s="114"/>
      <c r="AX140" s="110"/>
      <c r="AY140" s="127"/>
      <c r="AZ140" s="119"/>
      <c r="BA140" s="119"/>
      <c r="BB140" s="113"/>
      <c r="BC140" s="121"/>
      <c r="BG140" s="144"/>
      <c r="BU140" s="6"/>
      <c r="BV140" s="6"/>
      <c r="BW140" s="6"/>
      <c r="BX140" s="6"/>
      <c r="BY140" s="6"/>
      <c r="BZ140" s="6"/>
      <c r="CA140" s="6"/>
      <c r="CB140" s="6"/>
    </row>
    <row r="141" spans="1:80" s="106" customFormat="1" ht="13.5" thickBot="1">
      <c r="A141" s="699"/>
      <c r="B141" s="131" t="s">
        <v>37</v>
      </c>
      <c r="C141" s="132" t="s">
        <v>1</v>
      </c>
      <c r="D141" s="109"/>
      <c r="E141" s="110"/>
      <c r="F141" s="110"/>
      <c r="G141" s="203"/>
      <c r="H141" s="130">
        <f>'[2]Fly ash'!$D$262</f>
        <v>0</v>
      </c>
      <c r="I141" s="112"/>
      <c r="J141" s="113"/>
      <c r="K141" s="113"/>
      <c r="L141" s="114"/>
      <c r="M141" s="110"/>
      <c r="N141" s="127"/>
      <c r="O141" s="119"/>
      <c r="P141" s="119"/>
      <c r="Q141" s="113">
        <f>H141</f>
        <v>0</v>
      </c>
      <c r="R141" s="115">
        <f>Q141/[2]Popn!$G$41*1000</f>
        <v>0</v>
      </c>
      <c r="T141" s="109"/>
      <c r="U141" s="110"/>
      <c r="V141" s="110"/>
      <c r="W141" s="203"/>
      <c r="X141" s="130"/>
      <c r="Y141" s="130"/>
      <c r="Z141" s="130"/>
      <c r="AA141" s="285">
        <f>'[2]Fly ash'!$D$254</f>
        <v>0</v>
      </c>
      <c r="AB141" s="113"/>
      <c r="AC141" s="113"/>
      <c r="AD141" s="113"/>
      <c r="AE141" s="113"/>
      <c r="AF141" s="117"/>
      <c r="AG141" s="112"/>
      <c r="AH141" s="113"/>
      <c r="AI141" s="113"/>
      <c r="AJ141" s="114">
        <f>W141</f>
        <v>0</v>
      </c>
      <c r="AK141" s="118">
        <f>AJ141/[2]Popn!$G$41*1000</f>
        <v>0</v>
      </c>
      <c r="AL141" s="119"/>
      <c r="AM141" s="109"/>
      <c r="AN141" s="110"/>
      <c r="AO141" s="110"/>
      <c r="AP141" s="111"/>
      <c r="AQ141" s="117"/>
      <c r="AR141" s="113"/>
      <c r="AS141" s="113"/>
      <c r="AT141" s="113"/>
      <c r="AU141" s="120"/>
      <c r="AV141" s="113"/>
      <c r="AW141" s="114"/>
      <c r="AX141" s="110"/>
      <c r="AY141" s="127"/>
      <c r="AZ141" s="119"/>
      <c r="BA141" s="119"/>
      <c r="BB141" s="119"/>
      <c r="BC141" s="121"/>
      <c r="BG141" s="144"/>
    </row>
    <row r="142" spans="1:80"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c r="BU142" s="106"/>
      <c r="BV142" s="106"/>
      <c r="BW142" s="106"/>
      <c r="BX142" s="106"/>
      <c r="BY142" s="106"/>
      <c r="BZ142" s="106"/>
      <c r="CA142" s="106"/>
      <c r="CB142" s="106"/>
    </row>
    <row r="143" spans="1:80" ht="13.5" thickBot="1">
      <c r="C143" s="39" t="s">
        <v>38</v>
      </c>
      <c r="D143" s="206"/>
      <c r="E143" s="207"/>
      <c r="F143" s="198"/>
      <c r="G143" s="208"/>
      <c r="H143" s="2"/>
      <c r="I143" s="20"/>
      <c r="J143" s="21"/>
      <c r="K143" s="21"/>
      <c r="L143" s="22"/>
      <c r="M143" s="2"/>
      <c r="N143" s="23"/>
      <c r="O143" s="19"/>
      <c r="P143" s="19"/>
      <c r="Q143" s="19"/>
      <c r="R143" s="24"/>
      <c r="T143" s="58"/>
      <c r="U143" s="59"/>
      <c r="V143" s="2"/>
      <c r="W143" s="208"/>
      <c r="X143" s="198"/>
      <c r="Y143" s="198"/>
      <c r="Z143" s="198"/>
      <c r="AA143" s="274"/>
      <c r="AB143" s="21"/>
      <c r="AC143" s="21"/>
      <c r="AD143" s="21"/>
      <c r="AE143" s="21"/>
      <c r="AF143" s="70"/>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19"/>
      <c r="BC143" s="24"/>
    </row>
    <row r="144" spans="1:80" ht="13.5" thickBot="1">
      <c r="C144" s="135" t="s">
        <v>92</v>
      </c>
      <c r="D144" s="134">
        <f>[2]TAS!E$30</f>
        <v>159370</v>
      </c>
      <c r="E144" s="134">
        <f>[2]TAS!F$30</f>
        <v>208558</v>
      </c>
      <c r="F144" s="134">
        <f>[2]TAS!G$30</f>
        <v>25446</v>
      </c>
      <c r="G144" s="66">
        <f>SUM(D144:F144)</f>
        <v>393374</v>
      </c>
      <c r="H144" s="231"/>
      <c r="I144" s="41">
        <f>SUM(I101:I143)</f>
        <v>159370</v>
      </c>
      <c r="J144" s="218">
        <f>SUM(J140,J135,J132,J131,J121,J116,J110,J106)</f>
        <v>208558.00000000003</v>
      </c>
      <c r="K144" s="218">
        <f>SUM(K101:K143)</f>
        <v>25445.431430458964</v>
      </c>
      <c r="L144" s="42">
        <f>SUM(L140,L135,L132,L131,L121,L116,L110,L106)</f>
        <v>393373.43143045896</v>
      </c>
      <c r="M144" s="43"/>
      <c r="N144" s="44">
        <f>SUM(N140,N135,N132,N131,N121,N116,N110,N106,N143)</f>
        <v>0</v>
      </c>
      <c r="O144" s="45">
        <f>SUM(O140,O135,O132,O131,O121,O116,O110,O106,O143)</f>
        <v>0</v>
      </c>
      <c r="P144" s="45">
        <f>SUM(P140,P135,P132,P131,P121,P116,P110,P106,P143)</f>
        <v>0</v>
      </c>
      <c r="Q144" s="133">
        <f>SUM(Q140,Q135,Q132,Q131,Q121,Q116,Q110,Q106,Q143)</f>
        <v>343127.03839698632</v>
      </c>
      <c r="R144" s="27">
        <f>SUM(R140,R135,R132,R131,R121,R116,R110,R106)</f>
        <v>683.1869091652751</v>
      </c>
      <c r="T144" s="60"/>
      <c r="U144" s="134"/>
      <c r="V144" s="134"/>
      <c r="W144" s="66">
        <f>SUM([2]TAS!$F$16:$G$16)</f>
        <v>76939</v>
      </c>
      <c r="X144" s="362"/>
      <c r="Y144" s="362"/>
      <c r="Z144" s="362"/>
      <c r="AA144" s="287"/>
      <c r="AB144" s="45">
        <f>SUM(AB140,AB135,AB132,AB131,AB121,AB116,AB110,AB106)</f>
        <v>62855.657088171516</v>
      </c>
      <c r="AC144" s="45">
        <f>W144-AB144</f>
        <v>14083.342911828484</v>
      </c>
      <c r="AD144" s="45">
        <v>0</v>
      </c>
      <c r="AE144" s="45"/>
      <c r="AF144" s="555" t="s">
        <v>195</v>
      </c>
      <c r="AG144" s="45">
        <f>SUM(AG140,AG135,AG132,AG131,AG121,AG116,AG110,AG106)</f>
        <v>62855.657088171516</v>
      </c>
      <c r="AH144" s="45">
        <f>SUM(AH140,AH135,AH132,AH131,AH121,AH116,AH110,AH106)</f>
        <v>49635.635797374976</v>
      </c>
      <c r="AI144" s="45">
        <f>SUM(AI140,AI135,AI132,AI131,AI121,AI116,AI110,AI106)</f>
        <v>0</v>
      </c>
      <c r="AJ144" s="354">
        <f>SUM(AJ140,AJ135,AJ132,AJ131,AJ121,AJ116,AJ110,AJ106,AJ143)</f>
        <v>112491.29288554649</v>
      </c>
      <c r="AK144" s="27">
        <f>SUM(AK140,AK135,AK132,AK131,AK121,AK116,AK110,AK106,AK143)</f>
        <v>223.9770408462139</v>
      </c>
      <c r="AL144" s="19"/>
      <c r="AM144" s="60"/>
      <c r="AN144" s="706"/>
      <c r="AO144" s="707"/>
      <c r="AP144" s="66"/>
      <c r="AQ144" s="71"/>
      <c r="AR144" s="45">
        <f>SUM(AR101:AR143)</f>
        <v>30660.924382767247</v>
      </c>
      <c r="AS144" s="46">
        <f>SUM(AS101:AS143)</f>
        <v>0.99999999999999989</v>
      </c>
      <c r="AT144" s="45">
        <f>SUM(AT101:AT143)</f>
        <v>86692.571868204977</v>
      </c>
      <c r="AU144" s="47"/>
      <c r="AV144" s="45"/>
      <c r="AW144" s="214"/>
      <c r="AX144" s="43"/>
      <c r="AY144" s="44">
        <f>SUM(AY140,AY135,AY132,AY131,AY121,AY116,AY110,AY106)</f>
        <v>22307.560247385911</v>
      </c>
      <c r="AZ144" s="45">
        <f>SUM(AZ140,AZ135,AZ132,AZ131,AZ121,AZ116,AZ110,AZ106)</f>
        <v>28751.011277843776</v>
      </c>
      <c r="BA144" s="45">
        <f>SUM(BA140,BA135,BA132,BA131,BA121,BA116,BA110,BA106)</f>
        <v>551.72903578238652</v>
      </c>
      <c r="BB144" s="354">
        <f>SUM(BB140,BB135,BB132,BB131,BB121,BB116,BB110,BB106,BB143)</f>
        <v>51610.300561012074</v>
      </c>
      <c r="BC144" s="27">
        <f>SUM(BC140,BC135,BC132,BC131,BC121,BC116,BC110,BC106,BC143)</f>
        <v>102.75926340894966</v>
      </c>
    </row>
    <row r="145" spans="1:80" ht="13.5" thickBot="1">
      <c r="C145" s="136" t="s">
        <v>65</v>
      </c>
      <c r="Q145" s="49">
        <f>Q144+Q141</f>
        <v>343127.03839698632</v>
      </c>
      <c r="R145" s="216">
        <f>R144+R141</f>
        <v>683.1869091652751</v>
      </c>
      <c r="AJ145" s="353">
        <f>AJ144+AJ141</f>
        <v>112491.29288554649</v>
      </c>
      <c r="AK145" s="216">
        <f>AK144+AK141</f>
        <v>223.9770408462139</v>
      </c>
      <c r="BB145" s="353">
        <f>BB144+BB141</f>
        <v>51610.300561012074</v>
      </c>
      <c r="BC145" s="216">
        <f>BC144+BC141</f>
        <v>102.75926340894966</v>
      </c>
    </row>
    <row r="147" spans="1:80" ht="13.5" thickBot="1">
      <c r="C147" s="89"/>
      <c r="AT147" s="215"/>
      <c r="AU147" s="215"/>
      <c r="AV147" s="215"/>
      <c r="AW147" s="215"/>
    </row>
    <row r="148" spans="1:80">
      <c r="A148" s="699" t="s">
        <v>83</v>
      </c>
      <c r="B148" s="16" t="s">
        <v>3</v>
      </c>
      <c r="C148" s="148" t="s">
        <v>16</v>
      </c>
      <c r="D148" s="55"/>
      <c r="E148" s="56"/>
      <c r="F148" s="56"/>
      <c r="G148" s="149"/>
      <c r="H148" s="150"/>
      <c r="I148" s="151"/>
      <c r="J148" s="26"/>
      <c r="K148" s="26"/>
      <c r="L148" s="133"/>
      <c r="M148" s="56"/>
      <c r="N148" s="16"/>
      <c r="O148" s="18"/>
      <c r="P148" s="18"/>
      <c r="Q148" s="244"/>
      <c r="R148" s="28"/>
      <c r="S148" s="152"/>
      <c r="T148" s="55"/>
      <c r="U148" s="56"/>
      <c r="V148" s="56"/>
      <c r="W148" s="213"/>
      <c r="X148" s="197"/>
      <c r="Y148" s="197"/>
      <c r="Z148" s="197"/>
      <c r="AA148" s="290"/>
      <c r="AB148" s="26"/>
      <c r="AC148" s="26"/>
      <c r="AD148" s="26"/>
      <c r="AE148" s="26"/>
      <c r="AF148" s="84"/>
      <c r="AG148" s="151"/>
      <c r="AH148" s="26"/>
      <c r="AI148" s="26"/>
      <c r="AJ148" s="133"/>
      <c r="AK148" s="27"/>
      <c r="AL148" s="18"/>
      <c r="AM148" s="55"/>
      <c r="AN148" s="56"/>
      <c r="AO148" s="56"/>
      <c r="AP148" s="149"/>
      <c r="AQ148" s="153"/>
      <c r="AR148" s="26"/>
      <c r="AS148" s="26"/>
      <c r="AT148" s="21"/>
      <c r="AU148" s="25"/>
      <c r="AV148" s="21"/>
      <c r="AW148" s="22"/>
      <c r="AX148" s="56"/>
      <c r="AY148" s="16"/>
      <c r="AZ148" s="18"/>
      <c r="BA148" s="18"/>
      <c r="BB148" s="244"/>
      <c r="BC148" s="28"/>
      <c r="BD148" s="8"/>
      <c r="BH148" s="700" t="s">
        <v>86</v>
      </c>
      <c r="BI148" s="701"/>
      <c r="BJ148" s="701"/>
      <c r="BK148" s="701"/>
      <c r="BL148" s="702"/>
      <c r="BM148" s="700" t="s">
        <v>87</v>
      </c>
      <c r="BN148" s="702"/>
      <c r="BP148" s="8"/>
      <c r="BQ148" s="8"/>
      <c r="BR148" s="8"/>
      <c r="BS148" s="8"/>
      <c r="BT148" s="8"/>
    </row>
    <row r="149" spans="1:80">
      <c r="A149" s="699"/>
      <c r="B149" s="23"/>
      <c r="C149" s="17" t="s">
        <v>17</v>
      </c>
      <c r="D149" s="57"/>
      <c r="E149" s="2"/>
      <c r="F149" s="2"/>
      <c r="G149" s="63"/>
      <c r="H149" s="5"/>
      <c r="I149" s="20"/>
      <c r="J149" s="21"/>
      <c r="K149" s="21"/>
      <c r="L149" s="22"/>
      <c r="M149" s="2"/>
      <c r="N149" s="23"/>
      <c r="O149" s="19"/>
      <c r="P149" s="19"/>
      <c r="Q149" s="19"/>
      <c r="R149" s="24"/>
      <c r="T149" s="57"/>
      <c r="U149" s="2"/>
      <c r="V149" s="2"/>
      <c r="W149" s="199"/>
      <c r="X149" s="198"/>
      <c r="Y149" s="198"/>
      <c r="Z149" s="198"/>
      <c r="AA149" s="272"/>
      <c r="AB149" s="21"/>
      <c r="AC149" s="21"/>
      <c r="AD149" s="21"/>
      <c r="AE149" s="21"/>
      <c r="AF149" s="70"/>
      <c r="AG149" s="20"/>
      <c r="AH149" s="21"/>
      <c r="AI149" s="21"/>
      <c r="AJ149" s="22"/>
      <c r="AK149" s="29"/>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8"/>
    </row>
    <row r="150" spans="1:80">
      <c r="A150" s="699"/>
      <c r="B150" s="23"/>
      <c r="C150" s="17" t="s">
        <v>18</v>
      </c>
      <c r="D150" s="57"/>
      <c r="E150" s="2"/>
      <c r="F150" s="2"/>
      <c r="G150" s="63"/>
      <c r="H150" s="5"/>
      <c r="I150" s="20"/>
      <c r="J150" s="21"/>
      <c r="K150" s="21"/>
      <c r="L150" s="22"/>
      <c r="M150" s="2"/>
      <c r="N150" s="23"/>
      <c r="O150" s="19"/>
      <c r="P150" s="19"/>
      <c r="Q150" s="19"/>
      <c r="R150" s="24"/>
      <c r="T150" s="57"/>
      <c r="U150" s="2"/>
      <c r="V150" s="2"/>
      <c r="W150" s="199"/>
      <c r="X150" s="198"/>
      <c r="Y150" s="198"/>
      <c r="Z150" s="198"/>
      <c r="AA150" s="272"/>
      <c r="AB150" s="21"/>
      <c r="AC150" s="21"/>
      <c r="AD150" s="21"/>
      <c r="AE150" s="21"/>
      <c r="AF150" s="70"/>
      <c r="AG150" s="20"/>
      <c r="AH150" s="21"/>
      <c r="AI150" s="21"/>
      <c r="AJ150" s="22"/>
      <c r="AK150" s="29"/>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7"/>
    </row>
    <row r="151" spans="1:80">
      <c r="A151" s="699"/>
      <c r="B151" s="23"/>
      <c r="C151" s="17" t="s">
        <v>182</v>
      </c>
      <c r="D151" s="57"/>
      <c r="E151" s="2"/>
      <c r="F151" s="2"/>
      <c r="G151" s="63"/>
      <c r="H151" s="2"/>
      <c r="I151" s="20"/>
      <c r="J151" s="21"/>
      <c r="K151" s="21"/>
      <c r="L151" s="22"/>
      <c r="M151" s="2"/>
      <c r="N151" s="23"/>
      <c r="O151" s="19"/>
      <c r="P151" s="19"/>
      <c r="Q151" s="19"/>
      <c r="R151" s="24"/>
      <c r="T151" s="57"/>
      <c r="U151" s="2"/>
      <c r="V151" s="2"/>
      <c r="W151" s="199"/>
      <c r="X151" s="198"/>
      <c r="Y151" s="198"/>
      <c r="Z151" s="198"/>
      <c r="AA151" s="274"/>
      <c r="AB151" s="21"/>
      <c r="AC151" s="21"/>
      <c r="AD151" s="21"/>
      <c r="AE151" s="21"/>
      <c r="AF151" s="70"/>
      <c r="AG151" s="20"/>
      <c r="AH151" s="21"/>
      <c r="AI151" s="21"/>
      <c r="AJ151" s="22"/>
      <c r="AK151" s="29"/>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0</v>
      </c>
      <c r="BI151" s="52">
        <f>O191/1000</f>
        <v>0</v>
      </c>
      <c r="BJ151" s="52">
        <f>P191/1000</f>
        <v>0</v>
      </c>
      <c r="BK151" s="53">
        <f>Q191/1000</f>
        <v>410.75286015704131</v>
      </c>
      <c r="BL151" s="54">
        <f>R191/1000</f>
        <v>0.83423658776161869</v>
      </c>
      <c r="BM151" s="51">
        <f>Q192/1000</f>
        <v>410.75286015704131</v>
      </c>
      <c r="BN151" s="54">
        <f>R192/1000</f>
        <v>0.83423658776161869</v>
      </c>
      <c r="BP151" s="30"/>
      <c r="BQ151" s="30"/>
      <c r="BR151" s="30"/>
      <c r="BS151" s="31"/>
      <c r="BT151" s="31"/>
      <c r="BU151" s="32"/>
    </row>
    <row r="152" spans="1:80">
      <c r="A152" s="699"/>
      <c r="B152" s="23"/>
      <c r="C152" s="17" t="s">
        <v>183</v>
      </c>
      <c r="D152" s="57"/>
      <c r="E152" s="2"/>
      <c r="F152" s="2"/>
      <c r="G152" s="63"/>
      <c r="H152" s="2"/>
      <c r="I152" s="20"/>
      <c r="J152" s="21"/>
      <c r="K152" s="21"/>
      <c r="L152" s="22"/>
      <c r="M152" s="2"/>
      <c r="N152" s="23"/>
      <c r="O152" s="19"/>
      <c r="P152" s="19"/>
      <c r="Q152" s="19"/>
      <c r="R152" s="33"/>
      <c r="T152" s="57"/>
      <c r="U152" s="2"/>
      <c r="V152" s="2"/>
      <c r="W152" s="199"/>
      <c r="X152" s="198"/>
      <c r="Y152" s="198"/>
      <c r="Z152" s="198"/>
      <c r="AA152" s="274"/>
      <c r="AB152" s="21"/>
      <c r="AC152" s="21"/>
      <c r="AD152" s="21"/>
      <c r="AE152" s="21"/>
      <c r="AF152" s="70"/>
      <c r="AG152" s="20"/>
      <c r="AH152" s="21"/>
      <c r="AI152" s="21"/>
      <c r="AJ152" s="22"/>
      <c r="AK152" s="29"/>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53.711899684470318</v>
      </c>
      <c r="BI152" s="52">
        <f>AH191/1000</f>
        <v>26.525561215240984</v>
      </c>
      <c r="BJ152" s="52">
        <f>AI191/1000</f>
        <v>0</v>
      </c>
      <c r="BK152" s="53">
        <f>AJ191/1000</f>
        <v>80.237460899711294</v>
      </c>
      <c r="BL152" s="54">
        <f>AK191/1000</f>
        <v>0.16296180035372052</v>
      </c>
      <c r="BM152" s="51">
        <f>AJ192/1000</f>
        <v>80.237460899711294</v>
      </c>
      <c r="BN152" s="54">
        <f>AK192/1000</f>
        <v>0.16296180035372052</v>
      </c>
      <c r="BU152" s="32"/>
    </row>
    <row r="153" spans="1:80" s="106" customFormat="1">
      <c r="A153" s="699"/>
      <c r="B153" s="107" t="s">
        <v>67</v>
      </c>
      <c r="C153" s="108"/>
      <c r="D153" s="109"/>
      <c r="E153" s="110"/>
      <c r="F153" s="110"/>
      <c r="G153" s="111"/>
      <c r="H153" s="110"/>
      <c r="I153" s="112">
        <f>D191*'[2]Lfill en &amp; composn'!B$133</f>
        <v>14363.918722220969</v>
      </c>
      <c r="J153" s="113">
        <f>E191*'[2]C&amp;I composn'!$E$10</f>
        <v>5939.8971675882885</v>
      </c>
      <c r="K153" s="113">
        <f>F191*'[2]Lfill en &amp; composn'!C$133</f>
        <v>7654.7229579239465</v>
      </c>
      <c r="L153" s="114">
        <f>SUM(I153:K153)</f>
        <v>27958.538847733205</v>
      </c>
      <c r="M153" s="110"/>
      <c r="N153" s="112"/>
      <c r="O153" s="113"/>
      <c r="P153" s="113"/>
      <c r="Q153" s="114">
        <f>L153</f>
        <v>27958.538847733205</v>
      </c>
      <c r="R153" s="115">
        <f>Q153/[2]Popn!$G$40*1000</f>
        <v>56.783624192455378</v>
      </c>
      <c r="T153" s="109"/>
      <c r="U153" s="110"/>
      <c r="V153" s="110"/>
      <c r="W153" s="203"/>
      <c r="X153" s="130"/>
      <c r="Y153" s="130"/>
      <c r="Z153" s="130"/>
      <c r="AA153" s="276"/>
      <c r="AB153" s="113"/>
      <c r="AC153" s="113">
        <f>$AB$191/$AB$97*AC106</f>
        <v>1501.7641116916966</v>
      </c>
      <c r="AD153" s="113"/>
      <c r="AE153" s="113">
        <f>SUM(AB153:AD153)</f>
        <v>1501.7641116916966</v>
      </c>
      <c r="AF153" s="117"/>
      <c r="AG153" s="112">
        <f>AB153</f>
        <v>0</v>
      </c>
      <c r="AH153" s="113">
        <f>AC153</f>
        <v>1501.7641116916966</v>
      </c>
      <c r="AI153" s="113">
        <f>AD153</f>
        <v>0</v>
      </c>
      <c r="AJ153" s="114">
        <f>SUM(AG153:AI153)</f>
        <v>1501.7641116916966</v>
      </c>
      <c r="AK153" s="118">
        <f>AJ153/[2]Popn!$G$40*1000</f>
        <v>3.0500738757644972</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24.210486012388763</v>
      </c>
      <c r="BI153" s="52">
        <f>AZ191/1000</f>
        <v>12.071268398245826</v>
      </c>
      <c r="BJ153" s="52">
        <f>BA191/1000</f>
        <v>0.17720172504692602</v>
      </c>
      <c r="BK153" s="53">
        <f>BB191/1000</f>
        <v>36.458956135681511</v>
      </c>
      <c r="BL153" s="54">
        <f>BC191/1000</f>
        <v>7.4047920563116459E-2</v>
      </c>
      <c r="BM153" s="51">
        <f>BB192/1000</f>
        <v>36.458956135681511</v>
      </c>
      <c r="BN153" s="54">
        <f>BC192/1000</f>
        <v>7.4047920563116459E-2</v>
      </c>
      <c r="BO153" s="6"/>
      <c r="BU153" s="6"/>
      <c r="BV153" s="6"/>
      <c r="BW153" s="6"/>
      <c r="BX153" s="6"/>
      <c r="BY153" s="6"/>
      <c r="BZ153" s="6"/>
      <c r="CA153" s="6"/>
      <c r="CB153" s="6"/>
    </row>
    <row r="154" spans="1:80">
      <c r="A154" s="699"/>
      <c r="B154" s="23" t="s">
        <v>4</v>
      </c>
      <c r="C154" s="17" t="s">
        <v>19</v>
      </c>
      <c r="D154" s="57"/>
      <c r="E154" s="2"/>
      <c r="F154" s="2"/>
      <c r="G154" s="63"/>
      <c r="H154" s="2"/>
      <c r="I154" s="20"/>
      <c r="J154" s="21">
        <f>E191*'[2]C&amp;I composn'!$E$11</f>
        <v>3947.8812210676347</v>
      </c>
      <c r="K154" s="21"/>
      <c r="L154" s="22"/>
      <c r="M154" s="2"/>
      <c r="N154" s="23"/>
      <c r="O154" s="19"/>
      <c r="P154" s="19"/>
      <c r="Q154" s="19"/>
      <c r="R154" s="33"/>
      <c r="T154" s="57">
        <f>[2]TAS!$E$41</f>
        <v>920</v>
      </c>
      <c r="U154" s="2"/>
      <c r="V154" s="2"/>
      <c r="W154" s="199"/>
      <c r="X154" s="198"/>
      <c r="Y154" s="198"/>
      <c r="Z154" s="198"/>
      <c r="AA154" s="274"/>
      <c r="AB154" s="21">
        <f>T154</f>
        <v>920</v>
      </c>
      <c r="AC154" s="301">
        <f>$AB$191/$AB$97*AC107</f>
        <v>5370.0329003803508</v>
      </c>
      <c r="AD154" s="21"/>
      <c r="AE154" s="21"/>
      <c r="AF154" s="70"/>
      <c r="AG154" s="20"/>
      <c r="AH154" s="21"/>
      <c r="AI154" s="21"/>
      <c r="AJ154" s="22"/>
      <c r="AK154" s="29"/>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22">SUM(BH152:BH153)/BH155</f>
        <v>1</v>
      </c>
      <c r="BI154" s="86">
        <f t="shared" si="22"/>
        <v>1</v>
      </c>
      <c r="BJ154" s="86">
        <f t="shared" si="22"/>
        <v>1</v>
      </c>
      <c r="BK154" s="87">
        <f t="shared" si="22"/>
        <v>0.22124670955386938</v>
      </c>
      <c r="BL154" s="87">
        <f t="shared" si="22"/>
        <v>0.22124670955386938</v>
      </c>
      <c r="BM154" s="88">
        <f t="shared" si="22"/>
        <v>0.22124670955386938</v>
      </c>
      <c r="BN154" s="87">
        <f t="shared" si="22"/>
        <v>0.22124670955386938</v>
      </c>
      <c r="BU154" s="106"/>
      <c r="BV154" s="106"/>
      <c r="BW154" s="106"/>
      <c r="BX154" s="106"/>
      <c r="BY154" s="106"/>
      <c r="BZ154" s="106"/>
      <c r="CA154" s="106"/>
      <c r="CB154" s="106"/>
    </row>
    <row r="155" spans="1:80">
      <c r="A155" s="699"/>
      <c r="B155" s="23"/>
      <c r="C155" s="17" t="s">
        <v>20</v>
      </c>
      <c r="D155" s="57"/>
      <c r="E155" s="2"/>
      <c r="F155" s="2"/>
      <c r="G155" s="63"/>
      <c r="H155" s="2"/>
      <c r="I155" s="20"/>
      <c r="J155" s="21">
        <f>E191*'[2]C&amp;I composn'!$E$12</f>
        <v>512.97971426912204</v>
      </c>
      <c r="K155" s="21"/>
      <c r="L155" s="22"/>
      <c r="M155" s="2"/>
      <c r="N155" s="23"/>
      <c r="O155" s="19"/>
      <c r="P155" s="19"/>
      <c r="Q155" s="19"/>
      <c r="R155" s="33"/>
      <c r="T155" s="201">
        <f>[2]TAS!$E$40</f>
        <v>380</v>
      </c>
      <c r="U155" s="2"/>
      <c r="V155" s="2"/>
      <c r="W155" s="199"/>
      <c r="X155" s="198"/>
      <c r="Y155" s="198"/>
      <c r="Z155" s="198"/>
      <c r="AA155" s="274"/>
      <c r="AB155" s="21">
        <f>T155</f>
        <v>380</v>
      </c>
      <c r="AC155" s="301">
        <f>$AB$191/$AB$97*AC108</f>
        <v>602.72890462782345</v>
      </c>
      <c r="AD155" s="21"/>
      <c r="AE155" s="21"/>
      <c r="AF155" s="70"/>
      <c r="AG155" s="20"/>
      <c r="AH155" s="21"/>
      <c r="AI155" s="21"/>
      <c r="AJ155" s="22"/>
      <c r="AK155" s="29"/>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23">SUM(BH151:BH153)</f>
        <v>77.922385696859081</v>
      </c>
      <c r="BI155" s="52">
        <f t="shared" si="23"/>
        <v>38.596829613486811</v>
      </c>
      <c r="BJ155" s="52">
        <f t="shared" si="23"/>
        <v>0.17720172504692602</v>
      </c>
      <c r="BK155" s="74">
        <f t="shared" si="23"/>
        <v>527.44927719243412</v>
      </c>
      <c r="BL155" s="76">
        <f t="shared" si="23"/>
        <v>1.0712463086784556</v>
      </c>
      <c r="BM155" s="81">
        <f t="shared" si="23"/>
        <v>527.44927719243412</v>
      </c>
      <c r="BN155" s="76">
        <f t="shared" si="23"/>
        <v>1.0712463086784556</v>
      </c>
    </row>
    <row r="156" spans="1:80">
      <c r="A156" s="699"/>
      <c r="B156" s="23"/>
      <c r="C156" s="17" t="s">
        <v>21</v>
      </c>
      <c r="D156" s="57"/>
      <c r="E156" s="2"/>
      <c r="F156" s="2"/>
      <c r="G156" s="63"/>
      <c r="H156" s="2"/>
      <c r="I156" s="20"/>
      <c r="J156" s="21">
        <f>E191*'[2]C&amp;I composn'!$E$13</f>
        <v>0.86646494200462432</v>
      </c>
      <c r="K156" s="21"/>
      <c r="L156" s="22"/>
      <c r="M156" s="2"/>
      <c r="N156" s="23"/>
      <c r="O156" s="19"/>
      <c r="P156" s="19"/>
      <c r="Q156" s="19"/>
      <c r="R156" s="33"/>
      <c r="T156" s="201"/>
      <c r="U156" s="2"/>
      <c r="V156" s="2"/>
      <c r="W156" s="199"/>
      <c r="X156" s="198"/>
      <c r="Y156" s="198"/>
      <c r="Z156" s="198"/>
      <c r="AA156" s="274"/>
      <c r="AB156" s="21"/>
      <c r="AC156" s="301">
        <f>$AB$191/$AB$97*AC109</f>
        <v>1.6528497754636162</v>
      </c>
      <c r="AD156" s="21"/>
      <c r="AE156" s="21"/>
      <c r="AF156" s="70"/>
      <c r="AG156" s="20"/>
      <c r="AH156" s="21"/>
      <c r="AI156" s="21"/>
      <c r="AJ156" s="22"/>
      <c r="AK156" s="29"/>
      <c r="AL156" s="19"/>
      <c r="AM156" s="57"/>
      <c r="AN156" s="2"/>
      <c r="AO156" s="2"/>
      <c r="AP156" s="63"/>
      <c r="AQ156" s="68"/>
      <c r="AR156" s="21"/>
      <c r="AS156" s="21"/>
      <c r="AT156" s="21"/>
      <c r="AU156" s="25"/>
      <c r="AV156" s="21"/>
      <c r="AW156" s="22"/>
      <c r="AX156" s="2"/>
      <c r="AY156" s="23"/>
      <c r="AZ156" s="19"/>
      <c r="BA156" s="19"/>
      <c r="BB156" s="19"/>
      <c r="BC156" s="24"/>
      <c r="BD156" s="30"/>
    </row>
    <row r="157" spans="1:80" s="106" customFormat="1">
      <c r="A157" s="699"/>
      <c r="B157" s="107" t="s">
        <v>67</v>
      </c>
      <c r="C157" s="108"/>
      <c r="D157" s="109"/>
      <c r="E157" s="110"/>
      <c r="F157" s="110"/>
      <c r="G157" s="111"/>
      <c r="H157" s="110"/>
      <c r="I157" s="112">
        <f>D191*'[2]Lfill en &amp; composn'!B$134</f>
        <v>10011.203006358268</v>
      </c>
      <c r="J157" s="113">
        <f>SUM(J154:J156)</f>
        <v>4461.7274002787608</v>
      </c>
      <c r="K157" s="113">
        <f>F191*'[2]Lfill en &amp; composn'!C$134</f>
        <v>475.36427917039833</v>
      </c>
      <c r="L157" s="114">
        <f>SUM(I157:K157)</f>
        <v>14948.294685807427</v>
      </c>
      <c r="M157" s="110"/>
      <c r="N157" s="112"/>
      <c r="O157" s="113"/>
      <c r="P157" s="113"/>
      <c r="Q157" s="114">
        <f>L157</f>
        <v>14948.294685807427</v>
      </c>
      <c r="R157" s="115">
        <f>Q157/[2]Popn!$G$40*1000</f>
        <v>30.359896573271257</v>
      </c>
      <c r="T157" s="202"/>
      <c r="U157" s="110"/>
      <c r="V157" s="110"/>
      <c r="W157" s="203"/>
      <c r="X157" s="130"/>
      <c r="Y157" s="130"/>
      <c r="Z157" s="130"/>
      <c r="AA157" s="276"/>
      <c r="AB157" s="113">
        <f>SUM(AB154:AB156)</f>
        <v>1300</v>
      </c>
      <c r="AC157" s="113">
        <f>SUM(AC154:AC156)</f>
        <v>5974.4146547836381</v>
      </c>
      <c r="AD157" s="113"/>
      <c r="AE157" s="113">
        <f>SUM(AB157:AD157)</f>
        <v>7274.4146547836381</v>
      </c>
      <c r="AF157" s="117"/>
      <c r="AG157" s="112">
        <f>AB157</f>
        <v>1300</v>
      </c>
      <c r="AH157" s="113">
        <f>AC157</f>
        <v>5974.4146547836381</v>
      </c>
      <c r="AI157" s="113">
        <f>AD157</f>
        <v>0</v>
      </c>
      <c r="AJ157" s="114">
        <f>SUM(AG157:AI157)</f>
        <v>7274.4146547836381</v>
      </c>
      <c r="AK157" s="118">
        <f>AJ157/[2]Popn!$G$40*1000</f>
        <v>14.774292398717911</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427"/>
      <c r="BK157" s="428"/>
      <c r="BL157" s="6"/>
      <c r="BM157" s="6"/>
      <c r="BN157" s="6"/>
      <c r="BO157" s="6"/>
      <c r="BU157" s="6"/>
      <c r="BV157" s="6"/>
      <c r="BW157" s="6"/>
      <c r="BX157" s="6"/>
      <c r="BY157" s="6"/>
      <c r="BZ157" s="6"/>
      <c r="CA157" s="6"/>
      <c r="CB157" s="6"/>
    </row>
    <row r="158" spans="1:80">
      <c r="A158" s="699"/>
      <c r="B158" s="23" t="s">
        <v>2</v>
      </c>
      <c r="C158" s="17" t="s">
        <v>22</v>
      </c>
      <c r="D158" s="57"/>
      <c r="E158" s="2"/>
      <c r="F158" s="2"/>
      <c r="G158" s="63"/>
      <c r="H158" s="2"/>
      <c r="I158" s="20"/>
      <c r="J158" s="21">
        <f>E191*'[2]C&amp;I composn'!$E$14</f>
        <v>37244.40236267259</v>
      </c>
      <c r="K158" s="21"/>
      <c r="L158" s="22"/>
      <c r="M158" s="2"/>
      <c r="N158" s="20"/>
      <c r="O158" s="21"/>
      <c r="P158" s="21"/>
      <c r="Q158" s="21"/>
      <c r="R158" s="34"/>
      <c r="T158" s="201"/>
      <c r="U158" s="2"/>
      <c r="V158" s="2"/>
      <c r="W158" s="199"/>
      <c r="X158" s="198"/>
      <c r="Y158" s="198"/>
      <c r="Z158" s="198"/>
      <c r="AA158" s="274"/>
      <c r="AB158" s="21"/>
      <c r="AC158" s="21"/>
      <c r="AD158" s="21"/>
      <c r="AE158" s="21"/>
      <c r="AF158" s="70"/>
      <c r="AG158" s="20"/>
      <c r="AH158" s="21"/>
      <c r="AI158" s="21"/>
      <c r="AJ158" s="22"/>
      <c r="AK158" s="29"/>
      <c r="AL158" s="19"/>
      <c r="AM158" s="57"/>
      <c r="AN158" s="2"/>
      <c r="AO158" s="2"/>
      <c r="AP158" s="63"/>
      <c r="AQ158" s="70"/>
      <c r="AR158" s="21">
        <f>L163*'[2]Lfill en &amp; composn'!$D$82/SUM('[2]Lfill en &amp; composn'!$G$82,'[2]Lfill en &amp; composn'!$G$84:$G$85,'[2]Lfill en &amp; composn'!$G$87:$G$88)*'[2]Lfill en &amp; composn'!$D$16</f>
        <v>11125.46866686091</v>
      </c>
      <c r="AS158" s="35">
        <f>AR158/SUM($AR$148:$AR$190)</f>
        <v>0.32168462031426598</v>
      </c>
      <c r="AT158" s="21">
        <f>AS158*'[2]Lfill en &amp; composn'!$G$60/'[2]Lfill en &amp; composn'!$B$16</f>
        <v>18553.629398112138</v>
      </c>
      <c r="AU158" s="25"/>
      <c r="AV158" s="21"/>
      <c r="AW158" s="22"/>
      <c r="AX158" s="82"/>
      <c r="AY158" s="20"/>
      <c r="AZ158" s="21"/>
      <c r="BA158" s="21"/>
      <c r="BB158" s="21"/>
      <c r="BC158" s="29"/>
      <c r="BD158" s="30"/>
      <c r="BU158" s="106"/>
      <c r="BV158" s="106"/>
      <c r="BW158" s="106"/>
      <c r="BX158" s="106"/>
      <c r="BY158" s="106"/>
      <c r="BZ158" s="106"/>
      <c r="CA158" s="106"/>
      <c r="CB158" s="106"/>
    </row>
    <row r="159" spans="1:80">
      <c r="A159" s="699"/>
      <c r="B159" s="23"/>
      <c r="C159" s="17" t="s">
        <v>23</v>
      </c>
      <c r="D159" s="57"/>
      <c r="E159" s="2"/>
      <c r="F159" s="2"/>
      <c r="G159" s="63"/>
      <c r="H159" s="2"/>
      <c r="I159" s="20"/>
      <c r="J159" s="21">
        <f>E191*'[2]C&amp;I composn'!$E$15</f>
        <v>1380.200187097282</v>
      </c>
      <c r="K159" s="21"/>
      <c r="L159" s="22"/>
      <c r="M159" s="2"/>
      <c r="N159" s="20"/>
      <c r="O159" s="21"/>
      <c r="P159" s="21"/>
      <c r="Q159" s="21"/>
      <c r="R159" s="34"/>
      <c r="T159" s="201"/>
      <c r="U159" s="2"/>
      <c r="V159" s="2"/>
      <c r="W159" s="199"/>
      <c r="X159" s="198"/>
      <c r="Y159" s="198"/>
      <c r="Z159" s="198"/>
      <c r="AA159" s="274"/>
      <c r="AB159" s="21"/>
      <c r="AC159" s="21"/>
      <c r="AD159" s="21"/>
      <c r="AE159" s="21"/>
      <c r="AF159" s="70"/>
      <c r="AG159" s="20"/>
      <c r="AH159" s="21"/>
      <c r="AI159" s="21"/>
      <c r="AJ159" s="22"/>
      <c r="AK159" s="29"/>
      <c r="AL159" s="19"/>
      <c r="AM159" s="57"/>
      <c r="AN159" s="2"/>
      <c r="AO159" s="2"/>
      <c r="AP159" s="63"/>
      <c r="AQ159" s="68"/>
      <c r="AR159" s="21">
        <f>L163*'[2]Lfill en &amp; composn'!$D$84/SUM('[2]Lfill en &amp; composn'!$G$82,'[2]Lfill en &amp; composn'!$G$84:$G$85,'[2]Lfill en &amp; composn'!$G$87:$G$88)*'[2]Lfill en &amp; composn'!$D$18</f>
        <v>3913.2944750488409</v>
      </c>
      <c r="AS159" s="35">
        <f>AR159/SUM($AR$148:$AR$190)</f>
        <v>0.11314998811094483</v>
      </c>
      <c r="AT159" s="21">
        <f>AS159*'[2]Lfill en &amp; composn'!$G$60/'[2]Lfill en &amp; composn'!$B$18</f>
        <v>4894.5678777563326</v>
      </c>
      <c r="AU159" s="25"/>
      <c r="AV159" s="21"/>
      <c r="AW159" s="22"/>
      <c r="AX159" s="2"/>
      <c r="AY159" s="20"/>
      <c r="AZ159" s="21"/>
      <c r="BA159" s="21"/>
      <c r="BB159" s="21"/>
      <c r="BC159" s="29"/>
      <c r="BD159" s="36"/>
    </row>
    <row r="160" spans="1:80">
      <c r="A160" s="699"/>
      <c r="B160" s="23"/>
      <c r="C160" s="17" t="s">
        <v>24</v>
      </c>
      <c r="D160" s="57"/>
      <c r="E160" s="2"/>
      <c r="F160" s="2"/>
      <c r="G160" s="63"/>
      <c r="H160" s="2"/>
      <c r="I160" s="20"/>
      <c r="J160" s="21">
        <f>E191*'[2]C&amp;I composn'!$E$16</f>
        <v>12369.213726074397</v>
      </c>
      <c r="K160" s="21"/>
      <c r="L160" s="22"/>
      <c r="M160" s="2"/>
      <c r="N160" s="20"/>
      <c r="O160" s="21"/>
      <c r="P160" s="21"/>
      <c r="Q160" s="21"/>
      <c r="R160" s="34"/>
      <c r="T160" s="201"/>
      <c r="U160" s="2"/>
      <c r="V160" s="2"/>
      <c r="W160" s="199"/>
      <c r="X160" s="198"/>
      <c r="Y160" s="198"/>
      <c r="Z160" s="198"/>
      <c r="AA160" s="274"/>
      <c r="AB160" s="21"/>
      <c r="AC160" s="21"/>
      <c r="AD160" s="21"/>
      <c r="AE160" s="21"/>
      <c r="AF160" s="70"/>
      <c r="AG160" s="20"/>
      <c r="AH160" s="21"/>
      <c r="AI160" s="21"/>
      <c r="AJ160" s="22"/>
      <c r="AK160" s="29"/>
      <c r="AL160" s="19"/>
      <c r="AM160" s="57"/>
      <c r="AN160" s="2"/>
      <c r="AO160" s="2"/>
      <c r="AP160" s="63"/>
      <c r="AQ160" s="70"/>
      <c r="AR160" s="21">
        <f>L163*'[2]Lfill en &amp; composn'!$D$85/SUM('[2]Lfill en &amp; composn'!$G$82,'[2]Lfill en &amp; composn'!$G$84:$G$85,'[2]Lfill en &amp; composn'!$G$87:$G$88)*'[2]Lfill en &amp; composn'!$D$19</f>
        <v>2301.6181210278392</v>
      </c>
      <c r="AS160" s="35">
        <f>AR160/SUM($AR$148:$AR$190)</f>
        <v>6.6549569599406347E-2</v>
      </c>
      <c r="AT160" s="21">
        <f>AS160*'[2]Lfill en &amp; composn'!$G$60/'[2]Lfill en &amp; composn'!$B$19</f>
        <v>1338.9570126729136</v>
      </c>
      <c r="AU160" s="25"/>
      <c r="AV160" s="21"/>
      <c r="AW160" s="22"/>
      <c r="AX160" s="2"/>
      <c r="AY160" s="20"/>
      <c r="AZ160" s="21"/>
      <c r="BA160" s="21"/>
      <c r="BB160" s="21"/>
      <c r="BC160" s="29"/>
    </row>
    <row r="161" spans="1:80">
      <c r="A161" s="699"/>
      <c r="B161" s="23"/>
      <c r="C161" s="17" t="s">
        <v>25</v>
      </c>
      <c r="D161" s="57"/>
      <c r="E161" s="2"/>
      <c r="F161" s="2"/>
      <c r="G161" s="63"/>
      <c r="H161" s="2"/>
      <c r="I161" s="20"/>
      <c r="J161" s="21">
        <f>E191*'[2]C&amp;I composn'!$E$17</f>
        <v>10922.099711023235</v>
      </c>
      <c r="K161" s="21"/>
      <c r="L161" s="22"/>
      <c r="M161" s="2"/>
      <c r="N161" s="20"/>
      <c r="O161" s="21"/>
      <c r="P161" s="21"/>
      <c r="Q161" s="21"/>
      <c r="R161" s="34"/>
      <c r="T161" s="201"/>
      <c r="U161" s="2"/>
      <c r="V161" s="2"/>
      <c r="W161" s="199"/>
      <c r="X161" s="198"/>
      <c r="Y161" s="198"/>
      <c r="Z161" s="198"/>
      <c r="AA161" s="274"/>
      <c r="AB161" s="21"/>
      <c r="AC161" s="21"/>
      <c r="AD161" s="21"/>
      <c r="AE161" s="21"/>
      <c r="AF161" s="70"/>
      <c r="AG161" s="20"/>
      <c r="AH161" s="21"/>
      <c r="AI161" s="21"/>
      <c r="AJ161" s="22"/>
      <c r="AK161" s="29"/>
      <c r="AL161" s="19"/>
      <c r="AM161" s="57"/>
      <c r="AN161" s="2"/>
      <c r="AO161" s="2"/>
      <c r="AP161" s="63"/>
      <c r="AQ161" s="68"/>
      <c r="AR161" s="21">
        <f>L163*'[2]Lfill en &amp; composn'!$D$93/SUM('[2]Lfill en &amp; composn'!$G$82,'[2]Lfill en &amp; composn'!$G$84:$G$85,'[2]Lfill en &amp; composn'!$G$87:$G$88)*'[2]Lfill en &amp; composn'!$D$24</f>
        <v>1009.1128042504226</v>
      </c>
      <c r="AS161" s="35">
        <f>AR161/SUM($AR$148:$AR$190)</f>
        <v>2.9177743339162444E-2</v>
      </c>
      <c r="AT161" s="21">
        <f>AS161*'[2]Lfill en &amp; composn'!$G$60/'[2]Lfill en &amp; composn'!$B$24</f>
        <v>1051.7930497795994</v>
      </c>
      <c r="AU161" s="25"/>
      <c r="AV161" s="21"/>
      <c r="AW161" s="22"/>
      <c r="AX161" s="83"/>
      <c r="AY161" s="20"/>
      <c r="AZ161" s="21"/>
      <c r="BA161" s="21"/>
      <c r="BB161" s="21"/>
      <c r="BC161" s="29"/>
    </row>
    <row r="162" spans="1:80">
      <c r="A162" s="699"/>
      <c r="B162" s="23"/>
      <c r="C162" s="17" t="s">
        <v>0</v>
      </c>
      <c r="D162" s="201"/>
      <c r="E162" s="2"/>
      <c r="F162" s="2"/>
      <c r="G162" s="63"/>
      <c r="H162" s="198">
        <f>[2]Biosolids!$G$201</f>
        <v>13956</v>
      </c>
      <c r="I162" s="112"/>
      <c r="J162" s="113"/>
      <c r="K162" s="113"/>
      <c r="L162" s="22"/>
      <c r="M162" s="68" t="s">
        <v>193</v>
      </c>
      <c r="N162" s="20"/>
      <c r="O162" s="19"/>
      <c r="P162" s="19"/>
      <c r="Q162" s="19"/>
      <c r="R162" s="34"/>
      <c r="T162" s="201"/>
      <c r="U162" s="2"/>
      <c r="V162" s="2"/>
      <c r="W162" s="199"/>
      <c r="X162" s="198"/>
      <c r="Y162" s="198"/>
      <c r="Z162" s="198"/>
      <c r="AA162" s="278">
        <f>[2]Biosolids!$G$200</f>
        <v>17985</v>
      </c>
      <c r="AB162" s="21">
        <f>AA162</f>
        <v>17985</v>
      </c>
      <c r="AC162" s="21"/>
      <c r="AD162" s="21"/>
      <c r="AE162" s="21"/>
      <c r="AF162" s="68" t="s">
        <v>193</v>
      </c>
      <c r="AG162" s="20"/>
      <c r="AH162" s="21"/>
      <c r="AI162" s="21"/>
      <c r="AJ162" s="22"/>
      <c r="AK162" s="29"/>
      <c r="AL162" s="19"/>
      <c r="AM162" s="57"/>
      <c r="AN162" s="2"/>
      <c r="AO162" s="2"/>
      <c r="AP162" s="63"/>
      <c r="AQ162" s="68"/>
      <c r="AR162" s="21">
        <f>L163*'[2]Lfill en &amp; composn'!$D$87/SUM('[2]Lfill en &amp; composn'!$G$82,'[2]Lfill en &amp; composn'!$G$84:$G$85,'[2]Lfill en &amp; composn'!$G$87:$G$88)*'[2]Lfill en &amp; composn'!$D$21</f>
        <v>25.667840224393025</v>
      </c>
      <c r="AS162" s="35">
        <f>AR162/SUM($AR$148:$AR$190)</f>
        <v>7.4216643667927753E-4</v>
      </c>
      <c r="AT162" s="21">
        <f>AS162*'[2]Lfill en &amp; composn'!$G$60/'[2]Lfill en &amp; composn'!$B$21</f>
        <v>128.41659328704415</v>
      </c>
      <c r="AU162" s="25"/>
      <c r="AV162" s="21"/>
      <c r="AW162" s="22"/>
      <c r="AX162" s="2"/>
      <c r="AY162" s="23"/>
      <c r="AZ162" s="19"/>
      <c r="BA162" s="19"/>
      <c r="BB162" s="21"/>
      <c r="BC162" s="24"/>
    </row>
    <row r="163" spans="1:80" s="106" customFormat="1">
      <c r="A163" s="699"/>
      <c r="B163" s="107" t="s">
        <v>67</v>
      </c>
      <c r="C163" s="108"/>
      <c r="D163" s="109"/>
      <c r="E163" s="110"/>
      <c r="F163" s="110"/>
      <c r="G163" s="111"/>
      <c r="H163" s="110"/>
      <c r="I163" s="112">
        <f>D191*'[2]Lfill en &amp; composn'!B$135</f>
        <v>162080.42000000001</v>
      </c>
      <c r="J163" s="113">
        <f>SUM(J158:J162)</f>
        <v>61915.915986867505</v>
      </c>
      <c r="K163" s="113">
        <f>F191*'[2]Lfill en &amp; composn'!C$135</f>
        <v>1098.4000000000001</v>
      </c>
      <c r="L163" s="114">
        <f>SUM(I163:K163)</f>
        <v>225094.73598686751</v>
      </c>
      <c r="M163" s="110"/>
      <c r="N163" s="112"/>
      <c r="O163" s="113"/>
      <c r="P163" s="113"/>
      <c r="Q163" s="114">
        <f>L163-AT163</f>
        <v>199127.37205525948</v>
      </c>
      <c r="R163" s="115">
        <f>Q163/[2]Popn!$G$40*1000</f>
        <v>404.42649463184824</v>
      </c>
      <c r="T163" s="202"/>
      <c r="U163" s="110"/>
      <c r="V163" s="110"/>
      <c r="W163" s="203">
        <f>[2]TAS!$G$14</f>
        <v>27587</v>
      </c>
      <c r="X163" s="130"/>
      <c r="Y163" s="130"/>
      <c r="Z163" s="130"/>
      <c r="AA163" s="276"/>
      <c r="AB163" s="113">
        <f>$W163*Vic!AG163/SUM(Vic!$AG163:$AH163)</f>
        <v>10830.60918447031</v>
      </c>
      <c r="AC163" s="113">
        <f>$W163*Vic!AH163/SUM(Vic!$AG163:$AH163)</f>
        <v>16756.390815529689</v>
      </c>
      <c r="AD163" s="113"/>
      <c r="AE163" s="113">
        <f>SUM(AB163:AD163)</f>
        <v>27587</v>
      </c>
      <c r="AF163" s="70" t="s">
        <v>98</v>
      </c>
      <c r="AG163" s="112">
        <f>AB163</f>
        <v>10830.60918447031</v>
      </c>
      <c r="AH163" s="113">
        <f>AC163</f>
        <v>16756.390815529689</v>
      </c>
      <c r="AI163" s="113">
        <f>AD163</f>
        <v>0</v>
      </c>
      <c r="AJ163" s="114">
        <f>SUM(AG163:AI163)</f>
        <v>27587</v>
      </c>
      <c r="AK163" s="118">
        <f>AJ163/[2]Popn!$G$40*1000</f>
        <v>56.029031028002834</v>
      </c>
      <c r="AL163" s="119"/>
      <c r="AM163" s="109"/>
      <c r="AN163" s="110"/>
      <c r="AO163" s="110"/>
      <c r="AP163" s="111"/>
      <c r="AQ163" s="116"/>
      <c r="AR163" s="113"/>
      <c r="AS163" s="113"/>
      <c r="AT163" s="113">
        <f>SUM(AT158:AT162)</f>
        <v>25967.36393160803</v>
      </c>
      <c r="AU163" s="120">
        <f>$AT163*I163/SUM($I163:$K163)</f>
        <v>18697.910610283801</v>
      </c>
      <c r="AV163" s="113">
        <f>$AT163*J163/SUM($I163:$K163)</f>
        <v>7142.7397737264637</v>
      </c>
      <c r="AW163" s="114">
        <f>$AT163*K163/SUM($I163:$K163)</f>
        <v>126.71354759776492</v>
      </c>
      <c r="AX163" s="110"/>
      <c r="AY163" s="241">
        <f>AU163</f>
        <v>18697.910610283801</v>
      </c>
      <c r="AZ163" s="242">
        <f>AV163</f>
        <v>7142.7397737264637</v>
      </c>
      <c r="BA163" s="242">
        <f>AW163</f>
        <v>126.71354759776492</v>
      </c>
      <c r="BB163" s="243">
        <f>AT163+AP163</f>
        <v>25967.36393160803</v>
      </c>
      <c r="BC163" s="118">
        <f>BB163/[2]Popn!$G$40*1000</f>
        <v>52.739559917334539</v>
      </c>
      <c r="BD163" s="122"/>
      <c r="BG163" s="146"/>
      <c r="BH163" s="138" t="s">
        <v>72</v>
      </c>
      <c r="BI163" s="138" t="s">
        <v>68</v>
      </c>
      <c r="BJ163" s="138" t="s">
        <v>69</v>
      </c>
      <c r="BK163" s="138" t="s">
        <v>73</v>
      </c>
      <c r="BL163" s="138" t="s">
        <v>78</v>
      </c>
      <c r="BM163" s="6"/>
      <c r="BN163" s="6"/>
      <c r="BO163" s="6"/>
      <c r="BU163" s="6"/>
      <c r="BV163" s="6"/>
      <c r="BW163" s="6"/>
      <c r="BX163" s="6"/>
      <c r="BY163" s="6"/>
      <c r="BZ163" s="6"/>
      <c r="CA163" s="6"/>
      <c r="CB163" s="6"/>
    </row>
    <row r="164" spans="1:80">
      <c r="A164" s="699"/>
      <c r="B164" s="23" t="s">
        <v>5</v>
      </c>
      <c r="C164" s="17" t="s">
        <v>26</v>
      </c>
      <c r="D164" s="57"/>
      <c r="E164" s="2"/>
      <c r="F164" s="2"/>
      <c r="G164" s="63"/>
      <c r="H164" s="2"/>
      <c r="I164" s="20"/>
      <c r="J164" s="21">
        <f>E191*'[2]C&amp;I composn'!$E$18</f>
        <v>19956.976645657716</v>
      </c>
      <c r="K164" s="21"/>
      <c r="L164" s="22"/>
      <c r="M164" s="2"/>
      <c r="N164" s="23"/>
      <c r="O164" s="19"/>
      <c r="P164" s="19"/>
      <c r="Q164" s="19"/>
      <c r="R164" s="33"/>
      <c r="T164" s="201"/>
      <c r="U164" s="2"/>
      <c r="V164" s="2"/>
      <c r="W164" s="199"/>
      <c r="X164" s="198"/>
      <c r="Y164" s="198"/>
      <c r="Z164" s="198"/>
      <c r="AA164" s="274"/>
      <c r="AB164" s="21"/>
      <c r="AC164" s="301">
        <f>$AB$191/$AB$97*AC117</f>
        <v>12273.245569616178</v>
      </c>
      <c r="AD164" s="21"/>
      <c r="AE164" s="21"/>
      <c r="AF164" s="70"/>
      <c r="AG164" s="20"/>
      <c r="AH164" s="21"/>
      <c r="AI164" s="21"/>
      <c r="AJ164" s="22"/>
      <c r="AK164" s="29"/>
      <c r="AL164" s="19"/>
      <c r="AM164" s="57"/>
      <c r="AN164" s="2"/>
      <c r="AO164" s="2"/>
      <c r="AP164" s="63"/>
      <c r="AQ164" s="68"/>
      <c r="AR164" s="21"/>
      <c r="AS164" s="21"/>
      <c r="AT164" s="21"/>
      <c r="AU164" s="240"/>
      <c r="AV164" s="19"/>
      <c r="AW164" s="195"/>
      <c r="AX164" s="2"/>
      <c r="AY164" s="238"/>
      <c r="BB164" s="19"/>
      <c r="BC164" s="24"/>
      <c r="BG164" s="147" t="s">
        <v>3</v>
      </c>
      <c r="BH164" s="52">
        <f>Q153/1000</f>
        <v>27.958538847733205</v>
      </c>
      <c r="BI164" s="52">
        <f>AJ153/1000</f>
        <v>1.5017641116916967</v>
      </c>
      <c r="BJ164" s="52">
        <f>BB153/1000</f>
        <v>0</v>
      </c>
      <c r="BK164" s="137">
        <f>SUM(BI164:BJ164)/BL164</f>
        <v>5.097585431351629E-2</v>
      </c>
      <c r="BL164" s="52">
        <f>SUM(BH164:BJ164)</f>
        <v>29.460302959424901</v>
      </c>
      <c r="BU164" s="106"/>
      <c r="BV164" s="106"/>
      <c r="BW164" s="106"/>
      <c r="BX164" s="106"/>
      <c r="BY164" s="106"/>
      <c r="BZ164" s="106"/>
      <c r="CA164" s="106"/>
      <c r="CB164" s="106"/>
    </row>
    <row r="165" spans="1:80">
      <c r="A165" s="699"/>
      <c r="B165" s="23"/>
      <c r="C165" s="17" t="s">
        <v>27</v>
      </c>
      <c r="D165" s="57"/>
      <c r="E165" s="2"/>
      <c r="F165" s="2"/>
      <c r="G165" s="63"/>
      <c r="H165" s="2"/>
      <c r="I165" s="20"/>
      <c r="J165" s="725">
        <f>E191*'[2]C&amp;I composn'!$E$20</f>
        <v>6560.931744094537</v>
      </c>
      <c r="K165" s="21"/>
      <c r="L165" s="22"/>
      <c r="M165" s="2"/>
      <c r="N165" s="23"/>
      <c r="O165" s="19"/>
      <c r="P165" s="19"/>
      <c r="Q165" s="19"/>
      <c r="R165" s="33"/>
      <c r="T165" s="201"/>
      <c r="U165" s="2"/>
      <c r="V165" s="2"/>
      <c r="W165" s="199"/>
      <c r="X165" s="198"/>
      <c r="Y165" s="198"/>
      <c r="Z165" s="198"/>
      <c r="AA165" s="274"/>
      <c r="AB165" s="21"/>
      <c r="AC165" s="21"/>
      <c r="AD165" s="21"/>
      <c r="AE165" s="21"/>
      <c r="AF165" s="70"/>
      <c r="AG165" s="20"/>
      <c r="AH165" s="21"/>
      <c r="AI165" s="21"/>
      <c r="AJ165" s="22"/>
      <c r="AK165" s="29"/>
      <c r="AL165" s="19"/>
      <c r="AM165" s="57"/>
      <c r="AN165" s="2"/>
      <c r="AO165" s="2"/>
      <c r="AP165" s="63"/>
      <c r="AQ165" s="68"/>
      <c r="AR165" s="21"/>
      <c r="AS165" s="21"/>
      <c r="AT165" s="21"/>
      <c r="AU165" s="240"/>
      <c r="AV165" s="19"/>
      <c r="AW165" s="195"/>
      <c r="AX165" s="2"/>
      <c r="AY165" s="238"/>
      <c r="BB165" s="19"/>
      <c r="BC165" s="24"/>
      <c r="BG165" s="147" t="s">
        <v>4</v>
      </c>
      <c r="BH165" s="52">
        <f>Q157/1000</f>
        <v>14.948294685807426</v>
      </c>
      <c r="BI165" s="52">
        <f>AJ157/1000</f>
        <v>7.2744146547836381</v>
      </c>
      <c r="BJ165" s="52">
        <f>BB157/1000</f>
        <v>0</v>
      </c>
      <c r="BK165" s="137">
        <f t="shared" ref="BK165:BK172" si="24">SUM(BI165:BJ165)/BL165</f>
        <v>0.32734148403302471</v>
      </c>
      <c r="BL165" s="52">
        <f t="shared" ref="BL165:BL172" si="25">SUM(BH165:BJ165)</f>
        <v>22.222709340591063</v>
      </c>
    </row>
    <row r="166" spans="1:80">
      <c r="A166" s="699"/>
      <c r="B166" s="23"/>
      <c r="C166" s="17" t="s">
        <v>28</v>
      </c>
      <c r="D166" s="57"/>
      <c r="E166" s="2"/>
      <c r="F166" s="2"/>
      <c r="G166" s="63"/>
      <c r="H166" s="2"/>
      <c r="I166" s="20"/>
      <c r="J166" s="725"/>
      <c r="K166" s="21"/>
      <c r="L166" s="22"/>
      <c r="M166" s="2"/>
      <c r="N166" s="23"/>
      <c r="O166" s="19"/>
      <c r="P166" s="19"/>
      <c r="Q166" s="19"/>
      <c r="R166" s="33"/>
      <c r="T166" s="201"/>
      <c r="U166" s="2"/>
      <c r="V166" s="2"/>
      <c r="W166" s="199"/>
      <c r="X166" s="198"/>
      <c r="Y166" s="198"/>
      <c r="Z166" s="198"/>
      <c r="AA166" s="274"/>
      <c r="AB166" s="21"/>
      <c r="AC166" s="301">
        <f>$AB$191/$AB$97*AC119</f>
        <v>1887.6586666511339</v>
      </c>
      <c r="AD166" s="21"/>
      <c r="AE166" s="21"/>
      <c r="AF166" s="70"/>
      <c r="AG166" s="20"/>
      <c r="AH166" s="21"/>
      <c r="AI166" s="21"/>
      <c r="AJ166" s="22"/>
      <c r="AK166" s="29"/>
      <c r="AL166" s="19"/>
      <c r="AM166" s="57"/>
      <c r="AN166" s="2"/>
      <c r="AO166" s="2"/>
      <c r="AP166" s="63"/>
      <c r="AQ166" s="68"/>
      <c r="AR166" s="21"/>
      <c r="AS166" s="21"/>
      <c r="AT166" s="21"/>
      <c r="AU166" s="240"/>
      <c r="AV166" s="19"/>
      <c r="AW166" s="195"/>
      <c r="AX166" s="2"/>
      <c r="AY166" s="238"/>
      <c r="BB166" s="19"/>
      <c r="BC166" s="24"/>
      <c r="BG166" s="147" t="s">
        <v>2</v>
      </c>
      <c r="BH166" s="52">
        <f>Q163/1000</f>
        <v>199.12737205525949</v>
      </c>
      <c r="BI166" s="52">
        <f>AJ163/1000</f>
        <v>27.587</v>
      </c>
      <c r="BJ166" s="52">
        <f>BB163/1000</f>
        <v>25.96736393160803</v>
      </c>
      <c r="BK166" s="137">
        <f t="shared" si="24"/>
        <v>0.21194394490938351</v>
      </c>
      <c r="BL166" s="52">
        <f t="shared" si="25"/>
        <v>252.68173598686749</v>
      </c>
    </row>
    <row r="167" spans="1:80">
      <c r="A167" s="699"/>
      <c r="B167" s="23"/>
      <c r="C167" s="17" t="s">
        <v>29</v>
      </c>
      <c r="D167" s="57"/>
      <c r="E167" s="2"/>
      <c r="F167" s="2"/>
      <c r="G167" s="63"/>
      <c r="H167" s="2"/>
      <c r="I167" s="20"/>
      <c r="J167" s="21">
        <f>E191*'[2]C&amp;I composn'!$E$19</f>
        <v>9793.6901236769663</v>
      </c>
      <c r="K167" s="21"/>
      <c r="L167" s="22"/>
      <c r="M167" s="2"/>
      <c r="N167" s="23"/>
      <c r="O167" s="19"/>
      <c r="P167" s="19"/>
      <c r="Q167" s="19"/>
      <c r="R167" s="33"/>
      <c r="T167" s="201"/>
      <c r="U167" s="2"/>
      <c r="V167" s="2"/>
      <c r="W167" s="199"/>
      <c r="X167" s="198"/>
      <c r="Y167" s="198"/>
      <c r="Z167" s="198"/>
      <c r="AA167" s="274"/>
      <c r="AB167" s="21"/>
      <c r="AC167" s="301">
        <f>$AB$191/$AB$97*AC120</f>
        <v>4691.4554240660282</v>
      </c>
      <c r="AD167" s="21"/>
      <c r="AE167" s="21"/>
      <c r="AF167" s="70"/>
      <c r="AG167" s="20"/>
      <c r="AH167" s="21"/>
      <c r="AI167" s="21"/>
      <c r="AJ167" s="22"/>
      <c r="AK167" s="29"/>
      <c r="AL167" s="19"/>
      <c r="AM167" s="57"/>
      <c r="AN167" s="2"/>
      <c r="AO167" s="2"/>
      <c r="AP167" s="63"/>
      <c r="AQ167" s="68"/>
      <c r="AR167" s="21"/>
      <c r="AS167" s="21"/>
      <c r="AT167" s="21"/>
      <c r="AU167" s="240"/>
      <c r="AV167" s="19"/>
      <c r="AW167" s="195"/>
      <c r="AX167" s="2"/>
      <c r="AY167" s="238"/>
      <c r="BB167" s="19"/>
      <c r="BC167" s="24"/>
      <c r="BG167" s="147" t="s">
        <v>5</v>
      </c>
      <c r="BH167" s="52">
        <f>Q168/1000</f>
        <v>64.943869387420008</v>
      </c>
      <c r="BI167" s="52">
        <f>AJ168/1000</f>
        <v>30.748000000000001</v>
      </c>
      <c r="BJ167" s="52">
        <f>BB168/1000</f>
        <v>9.0724691260092065</v>
      </c>
      <c r="BK167" s="137">
        <f t="shared" si="24"/>
        <v>0.38009564791844525</v>
      </c>
      <c r="BL167" s="52">
        <f t="shared" si="25"/>
        <v>104.76433851342922</v>
      </c>
    </row>
    <row r="168" spans="1:80" s="106" customFormat="1">
      <c r="A168" s="699"/>
      <c r="B168" s="107" t="s">
        <v>67</v>
      </c>
      <c r="C168" s="108"/>
      <c r="D168" s="109"/>
      <c r="E168" s="110"/>
      <c r="F168" s="110"/>
      <c r="G168" s="111"/>
      <c r="H168" s="110"/>
      <c r="I168" s="112">
        <f>D191*'[2]Lfill en &amp; composn'!B$136</f>
        <v>37292.840000000004</v>
      </c>
      <c r="J168" s="113">
        <f>SUM(J164:J167)</f>
        <v>36311.59851342922</v>
      </c>
      <c r="K168" s="113">
        <f>F191*'[2]Lfill en &amp; composn'!C$136</f>
        <v>411.9</v>
      </c>
      <c r="L168" s="114">
        <f>SUM(I168:K168)</f>
        <v>74016.338513429218</v>
      </c>
      <c r="M168" s="110"/>
      <c r="N168" s="112"/>
      <c r="O168" s="113"/>
      <c r="P168" s="113"/>
      <c r="Q168" s="114">
        <f>L168-AT168</f>
        <v>64943.869387420011</v>
      </c>
      <c r="R168" s="115">
        <f>Q168/[2]Popn!$G$40*1000</f>
        <v>131.90060800327399</v>
      </c>
      <c r="T168" s="202">
        <f>SUM([2]TAS!$E$36:$E$37)</f>
        <v>30748</v>
      </c>
      <c r="U168" s="110"/>
      <c r="V168" s="110"/>
      <c r="W168" s="203"/>
      <c r="X168" s="130"/>
      <c r="Y168" s="130"/>
      <c r="Z168" s="130"/>
      <c r="AA168" s="276"/>
      <c r="AB168" s="113">
        <f>T168</f>
        <v>30748</v>
      </c>
      <c r="AC168" s="113"/>
      <c r="AD168" s="113"/>
      <c r="AE168" s="113">
        <f>SUM(AB168:AD168)</f>
        <v>30748</v>
      </c>
      <c r="AF168" s="117"/>
      <c r="AG168" s="112">
        <f>AB168</f>
        <v>30748</v>
      </c>
      <c r="AH168" s="113">
        <f>AC168</f>
        <v>0</v>
      </c>
      <c r="AI168" s="113">
        <f>AD168</f>
        <v>0</v>
      </c>
      <c r="AJ168" s="114">
        <f>SUM(AG168:AI168)</f>
        <v>30748</v>
      </c>
      <c r="AK168" s="118">
        <f>AJ168/[2]Popn!$G$40*1000</f>
        <v>62.449003010440833</v>
      </c>
      <c r="AL168" s="119"/>
      <c r="AM168" s="109"/>
      <c r="AN168" s="110"/>
      <c r="AO168" s="110"/>
      <c r="AP168" s="111"/>
      <c r="AQ168" s="117"/>
      <c r="AR168" s="113">
        <f>L168*'[2]Lfill en &amp; composn'!$D$17</f>
        <v>14507.202348632127</v>
      </c>
      <c r="AS168" s="123">
        <f>AR168/SUM($AR$148:$AR$190)</f>
        <v>0.4194649249467251</v>
      </c>
      <c r="AT168" s="113">
        <f>AS168*'[2]Lfill en &amp; composn'!$G$60/'[2]Lfill en &amp; composn'!$B$17</f>
        <v>9072.4691260092059</v>
      </c>
      <c r="AU168" s="120">
        <f>$AT168*I168/SUM($I168:$K168)</f>
        <v>4571.127757958664</v>
      </c>
      <c r="AV168" s="113">
        <f>$AT168*J168/SUM($I168:$K168)</f>
        <v>4450.8531906013823</v>
      </c>
      <c r="AW168" s="114">
        <f>$AT168*K168/SUM($I168:$K168)</f>
        <v>50.4881774491611</v>
      </c>
      <c r="AX168" s="110"/>
      <c r="AY168" s="241">
        <f>AU168</f>
        <v>4571.127757958664</v>
      </c>
      <c r="AZ168" s="242">
        <f>AV168</f>
        <v>4450.8531906013823</v>
      </c>
      <c r="BA168" s="242">
        <f>AW168</f>
        <v>50.4881774491611</v>
      </c>
      <c r="BB168" s="114">
        <f>AT168+AP168</f>
        <v>9072.4691260092059</v>
      </c>
      <c r="BC168" s="118">
        <f>BB168/[2]Popn!$G$40*1000</f>
        <v>18.426130212120476</v>
      </c>
      <c r="BD168" s="122"/>
      <c r="BG168" s="147" t="s">
        <v>6</v>
      </c>
      <c r="BH168" s="52">
        <f>Q178/1000</f>
        <v>55.257828475262379</v>
      </c>
      <c r="BI168" s="52">
        <f>AJ178/1000</f>
        <v>1.1545000000000001</v>
      </c>
      <c r="BJ168" s="52">
        <f>BB178/1000</f>
        <v>0</v>
      </c>
      <c r="BK168" s="137">
        <f t="shared" si="24"/>
        <v>2.0465384627870217E-2</v>
      </c>
      <c r="BL168" s="52">
        <f t="shared" si="25"/>
        <v>56.412328475262377</v>
      </c>
      <c r="BM168" s="6"/>
      <c r="BN168" s="6"/>
      <c r="BO168" s="6"/>
      <c r="BU168" s="6"/>
      <c r="BV168" s="6"/>
      <c r="BW168" s="6"/>
      <c r="BX168" s="6"/>
      <c r="BY168" s="6"/>
      <c r="BZ168" s="6"/>
      <c r="CA168" s="6"/>
      <c r="CB168" s="6"/>
    </row>
    <row r="169" spans="1:80">
      <c r="A169" s="699"/>
      <c r="B169" s="23" t="s">
        <v>6</v>
      </c>
      <c r="C169" s="17" t="s">
        <v>30</v>
      </c>
      <c r="D169" s="57"/>
      <c r="E169" s="2"/>
      <c r="F169" s="2"/>
      <c r="G169" s="63"/>
      <c r="H169" s="2"/>
      <c r="I169" s="20"/>
      <c r="J169" s="21"/>
      <c r="K169" s="21"/>
      <c r="L169" s="22"/>
      <c r="M169" s="2"/>
      <c r="N169" s="23"/>
      <c r="O169" s="19"/>
      <c r="P169" s="19"/>
      <c r="Q169" s="19"/>
      <c r="R169" s="33"/>
      <c r="T169" s="201"/>
      <c r="U169" s="2"/>
      <c r="V169" s="2"/>
      <c r="W169" s="199"/>
      <c r="X169" s="198"/>
      <c r="Y169" s="198"/>
      <c r="Z169" s="198"/>
      <c r="AA169" s="274"/>
      <c r="AB169" s="21"/>
      <c r="AC169" s="21"/>
      <c r="AD169" s="21"/>
      <c r="AE169" s="21"/>
      <c r="AF169" s="70"/>
      <c r="AG169" s="20"/>
      <c r="AH169" s="21"/>
      <c r="AI169" s="21"/>
      <c r="AJ169" s="22"/>
      <c r="AK169" s="29"/>
      <c r="AL169" s="19"/>
      <c r="AM169" s="57"/>
      <c r="AN169" s="2"/>
      <c r="AO169" s="2"/>
      <c r="AP169" s="63"/>
      <c r="AQ169" s="68"/>
      <c r="AR169" s="21"/>
      <c r="AS169" s="21"/>
      <c r="AT169" s="21"/>
      <c r="AU169" s="240"/>
      <c r="AV169" s="19"/>
      <c r="AW169" s="195"/>
      <c r="AX169" s="2"/>
      <c r="AY169" s="238"/>
      <c r="BB169" s="19"/>
      <c r="BC169" s="24"/>
      <c r="BG169" s="147" t="s">
        <v>8</v>
      </c>
      <c r="BH169" s="52">
        <f>Q179/1000</f>
        <v>15.254434972816087</v>
      </c>
      <c r="BI169" s="52">
        <f>AJ179/1000</f>
        <v>11.701370742837344</v>
      </c>
      <c r="BJ169" s="52">
        <f>BB179/1000</f>
        <v>0</v>
      </c>
      <c r="BK169" s="137">
        <f t="shared" si="24"/>
        <v>0.43409463869381848</v>
      </c>
      <c r="BL169" s="52">
        <f t="shared" si="25"/>
        <v>26.955805715653433</v>
      </c>
      <c r="BU169" s="106"/>
      <c r="BV169" s="106"/>
      <c r="BW169" s="106"/>
      <c r="BX169" s="106"/>
      <c r="BY169" s="106"/>
      <c r="BZ169" s="106"/>
      <c r="CA169" s="106"/>
      <c r="CB169" s="106"/>
    </row>
    <row r="170" spans="1:80">
      <c r="A170" s="699"/>
      <c r="B170" s="23"/>
      <c r="C170" s="17" t="s">
        <v>31</v>
      </c>
      <c r="D170" s="57"/>
      <c r="E170" s="2"/>
      <c r="F170" s="2"/>
      <c r="G170" s="63"/>
      <c r="H170" s="2"/>
      <c r="I170" s="20"/>
      <c r="J170" s="21"/>
      <c r="K170" s="21"/>
      <c r="L170" s="22"/>
      <c r="M170" s="2"/>
      <c r="N170" s="23"/>
      <c r="O170" s="19"/>
      <c r="P170" s="19"/>
      <c r="Q170" s="19"/>
      <c r="R170" s="33"/>
      <c r="T170" s="201"/>
      <c r="U170" s="2"/>
      <c r="V170" s="2"/>
      <c r="W170" s="199"/>
      <c r="X170" s="198"/>
      <c r="Y170" s="198"/>
      <c r="Z170" s="198"/>
      <c r="AA170" s="274"/>
      <c r="AB170" s="21"/>
      <c r="AC170" s="21"/>
      <c r="AD170" s="21"/>
      <c r="AE170" s="21"/>
      <c r="AF170" s="70"/>
      <c r="AG170" s="20"/>
      <c r="AH170" s="21"/>
      <c r="AI170" s="21"/>
      <c r="AJ170" s="22"/>
      <c r="AK170" s="29"/>
      <c r="AL170" s="19"/>
      <c r="AM170" s="57"/>
      <c r="AN170" s="2"/>
      <c r="AO170" s="2"/>
      <c r="AP170" s="63"/>
      <c r="AQ170" s="68"/>
      <c r="AR170" s="21"/>
      <c r="AS170" s="21"/>
      <c r="AT170" s="21"/>
      <c r="AU170" s="240"/>
      <c r="AV170" s="19"/>
      <c r="AW170" s="195"/>
      <c r="AX170" s="2"/>
      <c r="AY170" s="238"/>
      <c r="BB170" s="19"/>
      <c r="BC170" s="24"/>
      <c r="BG170" s="147" t="s">
        <v>7</v>
      </c>
      <c r="BH170" s="52">
        <f>Q182/1000</f>
        <v>10.810505546681272</v>
      </c>
      <c r="BI170" s="52">
        <f>AJ182/1000</f>
        <v>0.27041139039861573</v>
      </c>
      <c r="BJ170" s="52">
        <f>BB182/1000</f>
        <v>1.4191230780642783</v>
      </c>
      <c r="BK170" s="137">
        <f t="shared" si="24"/>
        <v>0.13516232479383852</v>
      </c>
      <c r="BL170" s="52">
        <f t="shared" si="25"/>
        <v>12.500040015144165</v>
      </c>
    </row>
    <row r="171" spans="1:80">
      <c r="A171" s="699"/>
      <c r="B171" s="23"/>
      <c r="C171" s="17" t="s">
        <v>32</v>
      </c>
      <c r="D171" s="57"/>
      <c r="E171" s="2"/>
      <c r="F171" s="2"/>
      <c r="G171" s="63"/>
      <c r="H171" s="2"/>
      <c r="I171" s="20"/>
      <c r="J171" s="21"/>
      <c r="K171" s="21"/>
      <c r="L171" s="22"/>
      <c r="M171" s="2"/>
      <c r="N171" s="23"/>
      <c r="O171" s="19"/>
      <c r="P171" s="19"/>
      <c r="Q171" s="19"/>
      <c r="R171" s="33"/>
      <c r="T171" s="201"/>
      <c r="U171" s="2"/>
      <c r="V171" s="2"/>
      <c r="W171" s="199"/>
      <c r="X171" s="198"/>
      <c r="Y171" s="198"/>
      <c r="Z171" s="198"/>
      <c r="AA171" s="274"/>
      <c r="AB171" s="21"/>
      <c r="AC171" s="21"/>
      <c r="AD171" s="21"/>
      <c r="AE171" s="21"/>
      <c r="AF171" s="70"/>
      <c r="AG171" s="20"/>
      <c r="AH171" s="21"/>
      <c r="AI171" s="21"/>
      <c r="AJ171" s="22"/>
      <c r="AK171" s="29"/>
      <c r="AL171" s="19"/>
      <c r="AM171" s="57"/>
      <c r="AN171" s="2"/>
      <c r="AO171" s="2"/>
      <c r="AP171" s="63"/>
      <c r="AQ171" s="68"/>
      <c r="AR171" s="21"/>
      <c r="AS171" s="21"/>
      <c r="AT171" s="21"/>
      <c r="AU171" s="240"/>
      <c r="AV171" s="19"/>
      <c r="AW171" s="195"/>
      <c r="AX171" s="2"/>
      <c r="AY171" s="238"/>
      <c r="BB171" s="19"/>
      <c r="BC171" s="24"/>
      <c r="BG171" s="147" t="s">
        <v>11</v>
      </c>
      <c r="BH171" s="52">
        <f>Q187/1000</f>
        <v>22.45201618606141</v>
      </c>
      <c r="BI171" s="52">
        <f>AJ187/1000</f>
        <v>0</v>
      </c>
      <c r="BJ171" s="52">
        <f>BB187/1000</f>
        <v>0</v>
      </c>
      <c r="BK171" s="137">
        <f t="shared" si="24"/>
        <v>0</v>
      </c>
      <c r="BL171" s="52">
        <f t="shared" si="25"/>
        <v>22.45201618606141</v>
      </c>
    </row>
    <row r="172" spans="1:80" s="90" customFormat="1">
      <c r="A172" s="699"/>
      <c r="B172" s="91" t="s">
        <v>42</v>
      </c>
      <c r="C172" s="92"/>
      <c r="D172" s="93"/>
      <c r="E172" s="94"/>
      <c r="F172" s="94"/>
      <c r="G172" s="95"/>
      <c r="H172" s="94"/>
      <c r="I172" s="96"/>
      <c r="J172" s="97"/>
      <c r="K172" s="97"/>
      <c r="L172" s="98"/>
      <c r="M172" s="94"/>
      <c r="N172" s="96"/>
      <c r="O172" s="97"/>
      <c r="P172" s="97"/>
      <c r="Q172" s="97"/>
      <c r="R172" s="99"/>
      <c r="T172" s="292"/>
      <c r="U172" s="94"/>
      <c r="V172" s="94"/>
      <c r="W172" s="211"/>
      <c r="X172" s="289"/>
      <c r="Y172" s="289"/>
      <c r="Z172" s="289"/>
      <c r="AA172" s="280"/>
      <c r="AB172" s="97"/>
      <c r="AC172" s="97"/>
      <c r="AD172" s="97"/>
      <c r="AE172" s="97"/>
      <c r="AF172" s="101"/>
      <c r="AG172" s="96"/>
      <c r="AH172" s="97"/>
      <c r="AI172" s="97"/>
      <c r="AJ172" s="98"/>
      <c r="AK172" s="102"/>
      <c r="AL172" s="103"/>
      <c r="AM172" s="93"/>
      <c r="AN172" s="94"/>
      <c r="AO172" s="94"/>
      <c r="AP172" s="95"/>
      <c r="AQ172" s="100"/>
      <c r="AR172" s="97"/>
      <c r="AS172" s="128"/>
      <c r="AT172" s="128"/>
      <c r="AU172" s="104"/>
      <c r="AV172" s="97"/>
      <c r="AW172" s="98"/>
      <c r="AX172" s="94"/>
      <c r="AY172" s="239"/>
      <c r="BB172" s="97"/>
      <c r="BC172" s="105"/>
      <c r="BG172" s="147" t="s">
        <v>1</v>
      </c>
      <c r="BH172" s="52">
        <f>Q188/1000</f>
        <v>0</v>
      </c>
      <c r="BI172" s="52">
        <f>AJ188/1000</f>
        <v>0</v>
      </c>
      <c r="BJ172" s="52">
        <f>BB188/1000</f>
        <v>0</v>
      </c>
      <c r="BK172" s="137" t="e">
        <f t="shared" si="24"/>
        <v>#DIV/0!</v>
      </c>
      <c r="BL172" s="52">
        <f t="shared" si="25"/>
        <v>0</v>
      </c>
      <c r="BM172" s="6"/>
      <c r="BN172" s="6"/>
      <c r="BO172" s="6"/>
      <c r="BU172" s="6"/>
      <c r="BV172" s="6"/>
      <c r="BW172" s="6"/>
      <c r="BX172" s="6"/>
      <c r="BY172" s="6"/>
      <c r="BZ172" s="6"/>
      <c r="CA172" s="6"/>
      <c r="CB172" s="6"/>
    </row>
    <row r="173" spans="1:80">
      <c r="A173" s="699"/>
      <c r="B173" s="23"/>
      <c r="C173" s="17" t="s">
        <v>33</v>
      </c>
      <c r="D173" s="57"/>
      <c r="E173" s="2"/>
      <c r="F173" s="2"/>
      <c r="G173" s="63"/>
      <c r="H173" s="2"/>
      <c r="I173" s="20"/>
      <c r="J173" s="21"/>
      <c r="K173" s="21"/>
      <c r="L173" s="22"/>
      <c r="M173" s="2"/>
      <c r="N173" s="23"/>
      <c r="O173" s="19"/>
      <c r="P173" s="19"/>
      <c r="Q173" s="19"/>
      <c r="R173" s="33"/>
      <c r="T173" s="201"/>
      <c r="U173" s="2"/>
      <c r="V173" s="2"/>
      <c r="W173" s="199"/>
      <c r="X173" s="198"/>
      <c r="Y173" s="198"/>
      <c r="Z173" s="198"/>
      <c r="AA173" s="274"/>
      <c r="AB173" s="21"/>
      <c r="AC173" s="21"/>
      <c r="AD173" s="21"/>
      <c r="AE173" s="21"/>
      <c r="AF173" s="70"/>
      <c r="AG173" s="20"/>
      <c r="AH173" s="21"/>
      <c r="AI173" s="21"/>
      <c r="AJ173" s="22"/>
      <c r="AK173" s="29"/>
      <c r="AL173" s="19"/>
      <c r="AM173" s="57"/>
      <c r="AN173" s="2"/>
      <c r="AO173" s="2"/>
      <c r="AP173" s="63"/>
      <c r="AQ173" s="68"/>
      <c r="AR173" s="21"/>
      <c r="AS173" s="21"/>
      <c r="AT173" s="21"/>
      <c r="AU173" s="240"/>
      <c r="AV173" s="19"/>
      <c r="AW173" s="195"/>
      <c r="AX173" s="2"/>
      <c r="AY173" s="238"/>
      <c r="BB173" s="19"/>
      <c r="BC173" s="24"/>
      <c r="BG173" s="142"/>
      <c r="BU173" s="90"/>
      <c r="BV173" s="90"/>
      <c r="BW173" s="90"/>
      <c r="BX173" s="90"/>
      <c r="BY173" s="90"/>
      <c r="BZ173" s="90"/>
      <c r="CA173" s="90"/>
      <c r="CB173" s="90"/>
    </row>
    <row r="174" spans="1:80">
      <c r="A174" s="699"/>
      <c r="B174" s="23"/>
      <c r="C174" s="17" t="s">
        <v>34</v>
      </c>
      <c r="D174" s="57"/>
      <c r="E174" s="2"/>
      <c r="F174" s="2"/>
      <c r="G174" s="63"/>
      <c r="H174" s="2"/>
      <c r="I174" s="20"/>
      <c r="J174" s="21"/>
      <c r="K174" s="21"/>
      <c r="L174" s="22"/>
      <c r="M174" s="2"/>
      <c r="N174" s="23"/>
      <c r="O174" s="19"/>
      <c r="P174" s="19"/>
      <c r="Q174" s="19"/>
      <c r="R174" s="33"/>
      <c r="T174" s="201"/>
      <c r="U174" s="2"/>
      <c r="V174" s="2"/>
      <c r="W174" s="199"/>
      <c r="X174" s="198"/>
      <c r="Y174" s="198"/>
      <c r="Z174" s="198"/>
      <c r="AA174" s="274"/>
      <c r="AB174" s="21"/>
      <c r="AC174" s="21"/>
      <c r="AD174" s="21"/>
      <c r="AE174" s="21"/>
      <c r="AF174" s="70"/>
      <c r="AG174" s="20"/>
      <c r="AH174" s="21"/>
      <c r="AI174" s="21"/>
      <c r="AJ174" s="22"/>
      <c r="AK174" s="29"/>
      <c r="AL174" s="19"/>
      <c r="AM174" s="57"/>
      <c r="AN174" s="2"/>
      <c r="AO174" s="2"/>
      <c r="AP174" s="63"/>
      <c r="AQ174" s="68"/>
      <c r="AR174" s="21"/>
      <c r="AS174" s="21"/>
      <c r="AT174" s="21"/>
      <c r="AU174" s="240"/>
      <c r="AV174" s="19"/>
      <c r="AW174" s="195"/>
      <c r="AX174" s="2"/>
      <c r="AY174" s="238"/>
      <c r="BB174" s="19"/>
      <c r="BC174" s="24"/>
    </row>
    <row r="175" spans="1:80">
      <c r="A175" s="699"/>
      <c r="B175" s="23"/>
      <c r="C175" s="17" t="s">
        <v>35</v>
      </c>
      <c r="D175" s="57"/>
      <c r="E175" s="2"/>
      <c r="F175" s="2"/>
      <c r="G175" s="63"/>
      <c r="H175" s="2"/>
      <c r="I175" s="20"/>
      <c r="J175" s="21"/>
      <c r="K175" s="21"/>
      <c r="L175" s="22"/>
      <c r="M175" s="2"/>
      <c r="N175" s="23"/>
      <c r="O175" s="19"/>
      <c r="P175" s="19"/>
      <c r="Q175" s="19"/>
      <c r="R175" s="33"/>
      <c r="T175" s="201"/>
      <c r="U175" s="2"/>
      <c r="V175" s="2"/>
      <c r="W175" s="199"/>
      <c r="X175" s="198"/>
      <c r="Y175" s="198"/>
      <c r="Z175" s="198"/>
      <c r="AA175" s="274"/>
      <c r="AB175" s="21"/>
      <c r="AC175" s="21"/>
      <c r="AD175" s="21"/>
      <c r="AE175" s="21"/>
      <c r="AF175" s="70"/>
      <c r="AG175" s="20"/>
      <c r="AH175" s="21"/>
      <c r="AI175" s="21"/>
      <c r="AJ175" s="22"/>
      <c r="AK175" s="29"/>
      <c r="AL175" s="19"/>
      <c r="AM175" s="57"/>
      <c r="AN175" s="2"/>
      <c r="AO175" s="2"/>
      <c r="AP175" s="63"/>
      <c r="AQ175" s="68"/>
      <c r="AR175" s="21"/>
      <c r="AS175" s="21"/>
      <c r="AT175" s="21"/>
      <c r="AU175" s="240"/>
      <c r="AV175" s="19"/>
      <c r="AW175" s="195"/>
      <c r="AX175" s="2"/>
      <c r="AY175" s="238"/>
      <c r="BB175" s="19"/>
      <c r="BC175" s="24"/>
    </row>
    <row r="176" spans="1:80">
      <c r="A176" s="699"/>
      <c r="B176" s="23"/>
      <c r="C176" s="17" t="s">
        <v>36</v>
      </c>
      <c r="D176" s="57"/>
      <c r="E176" s="2"/>
      <c r="F176" s="2"/>
      <c r="G176" s="63"/>
      <c r="H176" s="2"/>
      <c r="I176" s="20"/>
      <c r="J176" s="21"/>
      <c r="K176" s="21"/>
      <c r="L176" s="22"/>
      <c r="M176" s="2"/>
      <c r="N176" s="23"/>
      <c r="O176" s="19"/>
      <c r="P176" s="19"/>
      <c r="Q176" s="19"/>
      <c r="R176" s="33"/>
      <c r="T176" s="201"/>
      <c r="U176" s="2"/>
      <c r="V176" s="2"/>
      <c r="W176" s="199"/>
      <c r="X176" s="198"/>
      <c r="Y176" s="198"/>
      <c r="Z176" s="198"/>
      <c r="AA176" s="274"/>
      <c r="AB176" s="21"/>
      <c r="AC176" s="21"/>
      <c r="AD176" s="21"/>
      <c r="AE176" s="21"/>
      <c r="AF176" s="70"/>
      <c r="AG176" s="20"/>
      <c r="AH176" s="21"/>
      <c r="AI176" s="21"/>
      <c r="AJ176" s="22"/>
      <c r="AK176" s="29"/>
      <c r="AL176" s="19"/>
      <c r="AM176" s="57"/>
      <c r="AN176" s="2"/>
      <c r="AO176" s="2"/>
      <c r="AP176" s="63"/>
      <c r="AQ176" s="68"/>
      <c r="AR176" s="21"/>
      <c r="AS176" s="21"/>
      <c r="AT176" s="21"/>
      <c r="AU176" s="240"/>
      <c r="AV176" s="19"/>
      <c r="AW176" s="195"/>
      <c r="AX176" s="2"/>
      <c r="AY176" s="238"/>
      <c r="BB176" s="19"/>
      <c r="BC176" s="24"/>
    </row>
    <row r="177" spans="1:80" s="90" customFormat="1">
      <c r="A177" s="699"/>
      <c r="B177" s="91" t="s">
        <v>43</v>
      </c>
      <c r="C177" s="92"/>
      <c r="D177" s="93"/>
      <c r="E177" s="94"/>
      <c r="F177" s="94"/>
      <c r="G177" s="95"/>
      <c r="H177" s="94"/>
      <c r="I177" s="96"/>
      <c r="J177" s="97"/>
      <c r="K177" s="97"/>
      <c r="L177" s="98"/>
      <c r="M177" s="94"/>
      <c r="N177" s="96"/>
      <c r="O177" s="97"/>
      <c r="P177" s="97"/>
      <c r="Q177" s="97"/>
      <c r="R177" s="99"/>
      <c r="T177" s="292"/>
      <c r="U177" s="94"/>
      <c r="V177" s="94"/>
      <c r="W177" s="211"/>
      <c r="X177" s="289"/>
      <c r="Y177" s="289"/>
      <c r="Z177" s="289"/>
      <c r="AA177" s="280"/>
      <c r="AB177" s="97"/>
      <c r="AC177" s="97"/>
      <c r="AD177" s="97"/>
      <c r="AE177" s="97"/>
      <c r="AF177" s="101"/>
      <c r="AG177" s="96"/>
      <c r="AH177" s="97"/>
      <c r="AI177" s="97"/>
      <c r="AJ177" s="98"/>
      <c r="AK177" s="102"/>
      <c r="AL177" s="103"/>
      <c r="AM177" s="93"/>
      <c r="AN177" s="94"/>
      <c r="AO177" s="94"/>
      <c r="AP177" s="95"/>
      <c r="AQ177" s="100"/>
      <c r="AR177" s="97"/>
      <c r="AS177" s="97"/>
      <c r="AT177" s="97"/>
      <c r="AU177" s="104"/>
      <c r="AV177" s="97"/>
      <c r="AW177" s="98"/>
      <c r="AX177" s="94"/>
      <c r="AY177" s="239"/>
      <c r="BB177" s="97"/>
      <c r="BC177" s="105"/>
      <c r="BG177" s="143"/>
      <c r="BU177" s="6"/>
      <c r="BV177" s="6"/>
      <c r="BW177" s="6"/>
      <c r="BX177" s="6"/>
      <c r="BY177" s="6"/>
      <c r="BZ177" s="6"/>
      <c r="CA177" s="6"/>
      <c r="CB177" s="6"/>
    </row>
    <row r="178" spans="1:80" s="106" customFormat="1">
      <c r="A178" s="699"/>
      <c r="B178" s="107" t="s">
        <v>67</v>
      </c>
      <c r="C178" s="108"/>
      <c r="D178" s="109"/>
      <c r="E178" s="110"/>
      <c r="F178" s="110"/>
      <c r="G178" s="111"/>
      <c r="H178" s="110"/>
      <c r="I178" s="112">
        <f>D191*'[2]Lfill en &amp; composn'!B$137</f>
        <v>37105.158997701663</v>
      </c>
      <c r="J178" s="113">
        <f>E191*SUM('[2]C&amp;I composn'!$E$21:$E$22)</f>
        <v>17745.365547547113</v>
      </c>
      <c r="K178" s="113">
        <f>F191*'[2]Lfill en &amp; composn'!C$137</f>
        <v>407.30393001360994</v>
      </c>
      <c r="L178" s="114">
        <f>SUM(I178:K178)</f>
        <v>55257.82847526238</v>
      </c>
      <c r="M178" s="110"/>
      <c r="N178" s="112"/>
      <c r="O178" s="113"/>
      <c r="P178" s="113"/>
      <c r="Q178" s="114">
        <f>L178</f>
        <v>55257.82847526238</v>
      </c>
      <c r="R178" s="115">
        <f>Q178/[2]Popn!$G$40*1000</f>
        <v>112.22831718492532</v>
      </c>
      <c r="T178" s="202"/>
      <c r="U178" s="130"/>
      <c r="V178" s="130"/>
      <c r="W178" s="203"/>
      <c r="X178" s="130"/>
      <c r="Y178" s="130"/>
      <c r="Z178" s="130"/>
      <c r="AA178" s="285">
        <f>[2]PACIA!$H$39</f>
        <v>1154.5</v>
      </c>
      <c r="AB178" s="113">
        <f>$AA178*[2]PACIA!I39</f>
        <v>241.29049999999998</v>
      </c>
      <c r="AC178" s="113">
        <f>$AA178*[2]PACIA!N39</f>
        <v>913.20950000000005</v>
      </c>
      <c r="AD178" s="113">
        <f>$AA178*[2]PACIA!O39</f>
        <v>0</v>
      </c>
      <c r="AE178" s="113">
        <f>SUM(AB178:AD178)</f>
        <v>1154.5</v>
      </c>
      <c r="AF178" s="117"/>
      <c r="AG178" s="112">
        <f t="shared" ref="AG178:AI179" si="26">AB178</f>
        <v>241.29049999999998</v>
      </c>
      <c r="AH178" s="113">
        <f t="shared" si="26"/>
        <v>913.20950000000005</v>
      </c>
      <c r="AI178" s="113">
        <f t="shared" si="26"/>
        <v>0</v>
      </c>
      <c r="AJ178" s="114">
        <f>SUM(AG178:AI178)</f>
        <v>1154.5</v>
      </c>
      <c r="AK178" s="118">
        <f>AJ178/[2]Popn!$G$40*1000</f>
        <v>2.3447825541678786</v>
      </c>
      <c r="AL178" s="119"/>
      <c r="AM178" s="109"/>
      <c r="AN178" s="110"/>
      <c r="AO178" s="110"/>
      <c r="AP178" s="111"/>
      <c r="AQ178" s="116"/>
      <c r="AR178" s="113"/>
      <c r="AS178" s="113"/>
      <c r="AT178" s="113"/>
      <c r="AU178" s="120"/>
      <c r="AV178" s="113"/>
      <c r="AW178" s="114"/>
      <c r="AX178" s="110"/>
      <c r="AY178" s="237"/>
      <c r="BB178" s="113"/>
      <c r="BC178" s="118">
        <f>BB178/[2]Popn!$G$40*1000</f>
        <v>0</v>
      </c>
      <c r="BG178" s="144"/>
      <c r="BU178" s="90"/>
      <c r="BV178" s="90"/>
      <c r="BW178" s="90"/>
      <c r="BX178" s="90"/>
      <c r="BY178" s="90"/>
      <c r="BZ178" s="90"/>
      <c r="CA178" s="90"/>
      <c r="CB178" s="90"/>
    </row>
    <row r="179" spans="1:80" s="106" customFormat="1">
      <c r="A179" s="699"/>
      <c r="B179" s="37" t="s">
        <v>8</v>
      </c>
      <c r="C179" s="129" t="s">
        <v>8</v>
      </c>
      <c r="D179" s="109"/>
      <c r="E179" s="110"/>
      <c r="F179" s="110"/>
      <c r="G179" s="111"/>
      <c r="H179" s="110"/>
      <c r="I179" s="112">
        <f>D191*'[2]Lfill en &amp; composn'!B$138</f>
        <v>13863.347308859562</v>
      </c>
      <c r="J179" s="113">
        <f>E191*SUM('[2]C&amp;I composn'!$E$23:$E$24)</f>
        <v>1303.8128080857309</v>
      </c>
      <c r="K179" s="113">
        <f>F191*'[2]Lfill en &amp; composn'!C$138</f>
        <v>87.27485587079363</v>
      </c>
      <c r="L179" s="114">
        <f>SUM(I179:K179)</f>
        <v>15254.434972816087</v>
      </c>
      <c r="M179" s="110"/>
      <c r="N179" s="112"/>
      <c r="O179" s="113"/>
      <c r="P179" s="113"/>
      <c r="Q179" s="114">
        <f>L179</f>
        <v>15254.434972816087</v>
      </c>
      <c r="R179" s="115">
        <f>Q179/[2]Popn!$G$40*1000</f>
        <v>30.981665654350387</v>
      </c>
      <c r="T179" s="202">
        <f>[2]TAS!$E$38</f>
        <v>10592</v>
      </c>
      <c r="U179" s="110"/>
      <c r="V179" s="110"/>
      <c r="W179" s="203"/>
      <c r="X179" s="198"/>
      <c r="Y179" s="198"/>
      <c r="Z179" s="198"/>
      <c r="AA179" s="276"/>
      <c r="AB179" s="113">
        <f>T179</f>
        <v>10592</v>
      </c>
      <c r="AC179" s="113">
        <f>$AB$191/$AB$97*AC132</f>
        <v>1109.3707428373443</v>
      </c>
      <c r="AD179" s="113"/>
      <c r="AE179" s="113">
        <f>SUM(AB179:AD179)</f>
        <v>11701.370742837344</v>
      </c>
      <c r="AF179" s="117"/>
      <c r="AG179" s="112">
        <f t="shared" si="26"/>
        <v>10592</v>
      </c>
      <c r="AH179" s="113">
        <f t="shared" si="26"/>
        <v>1109.3707428373443</v>
      </c>
      <c r="AI179" s="113">
        <f t="shared" si="26"/>
        <v>0</v>
      </c>
      <c r="AJ179" s="114">
        <f>SUM(AG179:AI179)</f>
        <v>11701.370742837344</v>
      </c>
      <c r="AK179" s="118">
        <f>AJ179/[2]Popn!$G$40*1000</f>
        <v>23.765413579606268</v>
      </c>
      <c r="AL179" s="119"/>
      <c r="AM179" s="109"/>
      <c r="AN179" s="110"/>
      <c r="AO179" s="110"/>
      <c r="AP179" s="111"/>
      <c r="AQ179" s="116"/>
      <c r="AR179" s="113"/>
      <c r="AS179" s="113"/>
      <c r="AT179" s="113"/>
      <c r="AU179" s="120"/>
      <c r="AV179" s="113"/>
      <c r="AW179" s="114"/>
      <c r="AX179" s="110"/>
      <c r="AY179" s="237"/>
      <c r="BB179" s="113"/>
      <c r="BC179" s="121"/>
      <c r="BG179" s="144"/>
    </row>
    <row r="180" spans="1:80">
      <c r="A180" s="699"/>
      <c r="B180" s="23" t="s">
        <v>7</v>
      </c>
      <c r="C180" s="17" t="s">
        <v>9</v>
      </c>
      <c r="D180" s="57"/>
      <c r="E180" s="2"/>
      <c r="F180" s="2"/>
      <c r="G180" s="63"/>
      <c r="H180" s="2"/>
      <c r="I180" s="20"/>
      <c r="J180" s="21">
        <f>E191*'[2]C&amp;I composn'!$E$25</f>
        <v>2656.8802391525651</v>
      </c>
      <c r="K180" s="21"/>
      <c r="L180" s="22"/>
      <c r="M180" s="2"/>
      <c r="N180" s="20"/>
      <c r="O180" s="21"/>
      <c r="P180" s="21"/>
      <c r="Q180" s="22"/>
      <c r="R180" s="34"/>
      <c r="T180" s="57"/>
      <c r="U180" s="2"/>
      <c r="V180" s="2"/>
      <c r="W180" s="199"/>
      <c r="X180" s="198"/>
      <c r="Y180" s="198"/>
      <c r="Z180" s="198"/>
      <c r="AA180" s="274"/>
      <c r="AB180" s="21"/>
      <c r="AC180" s="301">
        <f>$AB$191/$AB$97*AC133</f>
        <v>182.17290324133947</v>
      </c>
      <c r="AD180" s="21"/>
      <c r="AE180" s="21"/>
      <c r="AF180" s="70"/>
      <c r="AG180" s="20"/>
      <c r="AH180" s="21"/>
      <c r="AI180" s="21"/>
      <c r="AJ180" s="22"/>
      <c r="AK180" s="29"/>
      <c r="AL180" s="19"/>
      <c r="AM180" s="57"/>
      <c r="AN180" s="2"/>
      <c r="AO180" s="2"/>
      <c r="AP180" s="63"/>
      <c r="AQ180" s="68"/>
      <c r="AR180" s="21"/>
      <c r="AS180" s="35"/>
      <c r="AT180" s="21"/>
      <c r="AU180" s="25"/>
      <c r="AV180" s="21"/>
      <c r="AW180" s="22"/>
      <c r="AX180" s="2"/>
      <c r="AY180" s="238"/>
      <c r="BB180" s="21"/>
      <c r="BC180" s="29"/>
      <c r="BU180" s="106"/>
      <c r="BV180" s="106"/>
      <c r="BW180" s="106"/>
      <c r="BX180" s="106"/>
      <c r="BY180" s="106"/>
      <c r="BZ180" s="106"/>
      <c r="CA180" s="106"/>
      <c r="CB180" s="106"/>
    </row>
    <row r="181" spans="1:80">
      <c r="A181" s="699"/>
      <c r="B181" s="23"/>
      <c r="C181" s="17" t="s">
        <v>10</v>
      </c>
      <c r="D181" s="57"/>
      <c r="E181" s="2"/>
      <c r="F181" s="2"/>
      <c r="G181" s="63"/>
      <c r="H181" s="2"/>
      <c r="I181" s="20"/>
      <c r="J181" s="21">
        <f>E191*'[2]C&amp;I composn'!$E$26</f>
        <v>981.9253075287055</v>
      </c>
      <c r="K181" s="21"/>
      <c r="L181" s="22"/>
      <c r="M181" s="2"/>
      <c r="N181" s="20"/>
      <c r="O181" s="21"/>
      <c r="P181" s="21"/>
      <c r="Q181" s="22"/>
      <c r="R181" s="33"/>
      <c r="T181" s="57"/>
      <c r="U181" s="2"/>
      <c r="V181" s="2"/>
      <c r="W181" s="199"/>
      <c r="X181" s="198"/>
      <c r="Y181" s="198"/>
      <c r="Z181" s="198"/>
      <c r="AA181" s="274"/>
      <c r="AB181" s="21"/>
      <c r="AC181" s="301">
        <f>$AB$191/$AB$97*AC134</f>
        <v>88.238487157276268</v>
      </c>
      <c r="AD181" s="21"/>
      <c r="AE181" s="21"/>
      <c r="AF181" s="70"/>
      <c r="AG181" s="20"/>
      <c r="AH181" s="21"/>
      <c r="AI181" s="21"/>
      <c r="AJ181" s="22"/>
      <c r="AK181" s="29"/>
      <c r="AL181" s="19"/>
      <c r="AM181" s="57"/>
      <c r="AN181" s="2"/>
      <c r="AO181" s="2"/>
      <c r="AP181" s="63"/>
      <c r="AQ181" s="68"/>
      <c r="AR181" s="21"/>
      <c r="AS181" s="21"/>
      <c r="AT181" s="21"/>
      <c r="AU181" s="240"/>
      <c r="AV181" s="21"/>
      <c r="AW181" s="195"/>
      <c r="AX181" s="2"/>
      <c r="AY181" s="238"/>
      <c r="BB181" s="21"/>
      <c r="BC181" s="29"/>
    </row>
    <row r="182" spans="1:80" s="106" customFormat="1">
      <c r="A182" s="699"/>
      <c r="B182" s="107" t="s">
        <v>67</v>
      </c>
      <c r="C182" s="108"/>
      <c r="D182" s="109"/>
      <c r="E182" s="110"/>
      <c r="F182" s="110"/>
      <c r="G182" s="111"/>
      <c r="H182" s="110"/>
      <c r="I182" s="112">
        <f>D191*'[2]Lfill en &amp; composn'!B$139</f>
        <v>7171.7000000000007</v>
      </c>
      <c r="J182" s="113">
        <f>SUM(J180:J181)</f>
        <v>3638.8055466812707</v>
      </c>
      <c r="K182" s="113">
        <f>F191*'[2]Lfill en &amp; composn'!C$139</f>
        <v>0</v>
      </c>
      <c r="L182" s="114">
        <f>SUM(I182:K182)</f>
        <v>10810.505546681272</v>
      </c>
      <c r="M182" s="110"/>
      <c r="N182" s="112"/>
      <c r="O182" s="113"/>
      <c r="P182" s="113"/>
      <c r="Q182" s="114">
        <f>L182</f>
        <v>10810.505546681272</v>
      </c>
      <c r="R182" s="115">
        <f>Q182/[2]Popn!$G$40*1000</f>
        <v>21.956071725936194</v>
      </c>
      <c r="T182" s="109"/>
      <c r="U182" s="110"/>
      <c r="V182" s="110"/>
      <c r="W182" s="203"/>
      <c r="X182" s="130"/>
      <c r="Y182" s="130"/>
      <c r="Z182" s="130"/>
      <c r="AA182" s="276"/>
      <c r="AB182" s="113"/>
      <c r="AC182" s="113">
        <f>SUM(AC180:AC181)</f>
        <v>270.41139039861571</v>
      </c>
      <c r="AD182" s="113"/>
      <c r="AE182" s="113">
        <f>SUM(AB182:AD182)</f>
        <v>270.41139039861571</v>
      </c>
      <c r="AF182" s="117"/>
      <c r="AG182" s="112">
        <f>AB182</f>
        <v>0</v>
      </c>
      <c r="AH182" s="113">
        <f>AC182</f>
        <v>270.41139039861571</v>
      </c>
      <c r="AI182" s="113">
        <f>AD182</f>
        <v>0</v>
      </c>
      <c r="AJ182" s="114">
        <f>SUM(AG182:AI182)</f>
        <v>270.41139039861571</v>
      </c>
      <c r="AK182" s="118">
        <f>AJ182/[2]Popn!$G$40*1000</f>
        <v>0.54920390702031496</v>
      </c>
      <c r="AL182" s="119"/>
      <c r="AM182" s="109"/>
      <c r="AN182" s="110"/>
      <c r="AO182" s="110"/>
      <c r="AP182" s="111"/>
      <c r="AQ182" s="116"/>
      <c r="AR182" s="113">
        <f>L182*'[2]Lfill en &amp; composn'!$D$25</f>
        <v>1702.6546236023003</v>
      </c>
      <c r="AS182" s="113">
        <f>AR182/SUM($AR$148:$AR$190)</f>
        <v>4.9230987252816188E-2</v>
      </c>
      <c r="AT182" s="113">
        <f>AS182*'[2]Lfill en &amp; composn'!$G$64/'[2]Lfill en &amp; composn'!$B$25</f>
        <v>1419.1230780642784</v>
      </c>
      <c r="AU182" s="120">
        <f>$AT182*I182/SUM($I182:$K182)</f>
        <v>941.44764414629947</v>
      </c>
      <c r="AV182" s="113">
        <f>$AT182*J182/SUM($I182:$K182)</f>
        <v>477.67543391797886</v>
      </c>
      <c r="AW182" s="114">
        <f>$AT182*K182/SUM($I182:$K182)</f>
        <v>0</v>
      </c>
      <c r="AX182" s="110"/>
      <c r="AY182" s="241">
        <f>AU182</f>
        <v>941.44764414629947</v>
      </c>
      <c r="AZ182" s="242">
        <f>AV182</f>
        <v>477.67543391797886</v>
      </c>
      <c r="BA182" s="242">
        <f>AW182</f>
        <v>0</v>
      </c>
      <c r="BB182" s="114">
        <f>AT182+AP182</f>
        <v>1419.1230780642784</v>
      </c>
      <c r="BC182" s="118">
        <f>BB182/[2]Popn!$G$40*1000</f>
        <v>2.8822304336614475</v>
      </c>
      <c r="BD182" s="122"/>
      <c r="BG182" s="144"/>
      <c r="BU182" s="6"/>
      <c r="BV182" s="6"/>
      <c r="BW182" s="6"/>
      <c r="BX182" s="6"/>
      <c r="BY182" s="6"/>
      <c r="BZ182" s="6"/>
      <c r="CA182" s="6"/>
      <c r="CB182" s="6"/>
    </row>
    <row r="183" spans="1:80">
      <c r="A183" s="699"/>
      <c r="B183" s="23" t="s">
        <v>11</v>
      </c>
      <c r="C183" s="17" t="s">
        <v>12</v>
      </c>
      <c r="D183" s="57"/>
      <c r="E183" s="2"/>
      <c r="F183" s="2"/>
      <c r="G183" s="63"/>
      <c r="H183" s="2"/>
      <c r="I183" s="20"/>
      <c r="J183" s="21"/>
      <c r="K183" s="21"/>
      <c r="L183" s="22"/>
      <c r="M183" s="2"/>
      <c r="N183" s="20"/>
      <c r="O183" s="21"/>
      <c r="P183" s="21"/>
      <c r="Q183" s="22"/>
      <c r="R183" s="33"/>
      <c r="T183" s="57"/>
      <c r="U183" s="2"/>
      <c r="V183" s="2"/>
      <c r="W183" s="199"/>
      <c r="X183" s="198"/>
      <c r="Y183" s="198"/>
      <c r="Z183" s="198"/>
      <c r="AA183" s="274"/>
      <c r="AB183" s="21"/>
      <c r="AC183" s="21"/>
      <c r="AD183" s="21"/>
      <c r="AE183" s="21"/>
      <c r="AF183" s="70"/>
      <c r="AG183" s="20"/>
      <c r="AH183" s="21"/>
      <c r="AI183" s="21"/>
      <c r="AJ183" s="22"/>
      <c r="AK183" s="29"/>
      <c r="AL183" s="19"/>
      <c r="AM183" s="57"/>
      <c r="AN183" s="2"/>
      <c r="AO183" s="2"/>
      <c r="AP183" s="63"/>
      <c r="AQ183" s="68"/>
      <c r="AR183" s="21"/>
      <c r="AS183" s="21"/>
      <c r="AT183" s="21"/>
      <c r="AU183" s="25"/>
      <c r="AV183" s="21"/>
      <c r="AW183" s="22"/>
      <c r="AX183" s="2"/>
      <c r="AY183" s="23"/>
      <c r="AZ183" s="19"/>
      <c r="BA183" s="19"/>
      <c r="BB183" s="19"/>
      <c r="BC183" s="24"/>
      <c r="BU183" s="106"/>
      <c r="BV183" s="106"/>
      <c r="BW183" s="106"/>
      <c r="BX183" s="106"/>
      <c r="BY183" s="106"/>
      <c r="BZ183" s="106"/>
      <c r="CA183" s="106"/>
      <c r="CB183" s="106"/>
    </row>
    <row r="184" spans="1:80">
      <c r="A184" s="699"/>
      <c r="B184" s="23"/>
      <c r="C184" s="17" t="s">
        <v>13</v>
      </c>
      <c r="D184" s="57"/>
      <c r="E184" s="2"/>
      <c r="F184" s="2"/>
      <c r="G184" s="156"/>
      <c r="H184" s="3"/>
      <c r="I184" s="20"/>
      <c r="J184" s="21"/>
      <c r="K184" s="21"/>
      <c r="L184" s="22"/>
      <c r="M184" s="83"/>
      <c r="N184" s="20"/>
      <c r="O184" s="21"/>
      <c r="P184" s="21"/>
      <c r="Q184" s="22"/>
      <c r="R184" s="34"/>
      <c r="T184" s="57"/>
      <c r="U184" s="2"/>
      <c r="V184" s="2"/>
      <c r="W184" s="199"/>
      <c r="X184" s="198"/>
      <c r="Y184" s="198"/>
      <c r="Z184" s="198"/>
      <c r="AA184" s="282"/>
      <c r="AB184" s="21"/>
      <c r="AC184" s="21"/>
      <c r="AD184" s="21"/>
      <c r="AE184" s="21"/>
      <c r="AF184" s="70"/>
      <c r="AG184" s="20"/>
      <c r="AH184" s="21"/>
      <c r="AI184" s="21"/>
      <c r="AJ184" s="22"/>
      <c r="AK184" s="29"/>
      <c r="AL184" s="19"/>
      <c r="AM184" s="57"/>
      <c r="AN184" s="2"/>
      <c r="AO184" s="2"/>
      <c r="AP184" s="64"/>
      <c r="AQ184" s="69"/>
      <c r="AR184" s="21"/>
      <c r="AS184" s="21"/>
      <c r="AT184" s="21"/>
      <c r="AU184" s="25"/>
      <c r="AV184" s="21"/>
      <c r="AW184" s="22"/>
      <c r="AX184" s="2"/>
      <c r="AY184" s="20"/>
      <c r="AZ184" s="21"/>
      <c r="BA184" s="21"/>
      <c r="BB184" s="21"/>
      <c r="BC184" s="24"/>
    </row>
    <row r="185" spans="1:80">
      <c r="A185" s="699"/>
      <c r="B185" s="23"/>
      <c r="C185" s="17" t="s">
        <v>14</v>
      </c>
      <c r="D185" s="57"/>
      <c r="E185" s="2"/>
      <c r="F185" s="2"/>
      <c r="G185" s="156"/>
      <c r="H185" s="3"/>
      <c r="I185" s="20"/>
      <c r="J185" s="21"/>
      <c r="K185" s="21"/>
      <c r="L185" s="22"/>
      <c r="M185" s="83"/>
      <c r="N185" s="20"/>
      <c r="O185" s="21"/>
      <c r="P185" s="21"/>
      <c r="Q185" s="22"/>
      <c r="R185" s="34"/>
      <c r="T185" s="57"/>
      <c r="U185" s="2"/>
      <c r="V185" s="2"/>
      <c r="W185" s="199"/>
      <c r="X185" s="198"/>
      <c r="Y185" s="198"/>
      <c r="Z185" s="198"/>
      <c r="AA185" s="282"/>
      <c r="AB185" s="21"/>
      <c r="AC185" s="21"/>
      <c r="AD185" s="21"/>
      <c r="AE185" s="21"/>
      <c r="AF185" s="70"/>
      <c r="AG185" s="20"/>
      <c r="AH185" s="21"/>
      <c r="AI185" s="21"/>
      <c r="AJ185" s="22"/>
      <c r="AK185" s="29"/>
      <c r="AL185" s="19"/>
      <c r="AM185" s="57"/>
      <c r="AN185" s="2"/>
      <c r="AO185" s="2"/>
      <c r="AP185" s="64"/>
      <c r="AQ185" s="69"/>
      <c r="AR185" s="21"/>
      <c r="AS185" s="21"/>
      <c r="AT185" s="21"/>
      <c r="AU185" s="25"/>
      <c r="AV185" s="21"/>
      <c r="AW185" s="22"/>
      <c r="AX185" s="2"/>
      <c r="AY185" s="23"/>
      <c r="AZ185" s="19"/>
      <c r="BA185" s="19"/>
      <c r="BB185" s="21"/>
      <c r="BC185" s="24"/>
    </row>
    <row r="186" spans="1:80">
      <c r="A186" s="699"/>
      <c r="B186" s="23"/>
      <c r="C186" s="17" t="s">
        <v>15</v>
      </c>
      <c r="D186" s="57"/>
      <c r="E186" s="2"/>
      <c r="F186" s="2"/>
      <c r="G186" s="156"/>
      <c r="H186" s="3"/>
      <c r="I186" s="20"/>
      <c r="J186" s="21"/>
      <c r="K186" s="21"/>
      <c r="L186" s="22"/>
      <c r="M186" s="83"/>
      <c r="N186" s="20"/>
      <c r="O186" s="21"/>
      <c r="P186" s="21"/>
      <c r="Q186" s="22"/>
      <c r="R186" s="34"/>
      <c r="T186" s="57"/>
      <c r="U186" s="2"/>
      <c r="V186" s="2"/>
      <c r="W186" s="199"/>
      <c r="X186" s="198"/>
      <c r="Y186" s="198"/>
      <c r="Z186" s="198"/>
      <c r="AA186" s="282"/>
      <c r="AB186" s="21"/>
      <c r="AC186" s="21"/>
      <c r="AD186" s="21"/>
      <c r="AE186" s="21"/>
      <c r="AF186" s="70"/>
      <c r="AG186" s="20"/>
      <c r="AH186" s="21"/>
      <c r="AI186" s="21"/>
      <c r="AJ186" s="22"/>
      <c r="AK186" s="29"/>
      <c r="AL186" s="19"/>
      <c r="AM186" s="57"/>
      <c r="AN186" s="2"/>
      <c r="AO186" s="2"/>
      <c r="AP186" s="64"/>
      <c r="AQ186" s="69"/>
      <c r="AR186" s="21"/>
      <c r="AS186" s="21"/>
      <c r="AT186" s="21"/>
      <c r="AU186" s="25"/>
      <c r="AV186" s="21"/>
      <c r="AW186" s="22"/>
      <c r="AX186" s="2"/>
      <c r="AY186" s="23"/>
      <c r="AZ186" s="19"/>
      <c r="BA186" s="19"/>
      <c r="BB186" s="21"/>
      <c r="BC186" s="24"/>
    </row>
    <row r="187" spans="1:80" s="106" customFormat="1">
      <c r="A187" s="699"/>
      <c r="B187" s="107" t="s">
        <v>67</v>
      </c>
      <c r="C187" s="108"/>
      <c r="D187" s="109"/>
      <c r="E187" s="110"/>
      <c r="F187" s="110"/>
      <c r="G187" s="124"/>
      <c r="H187" s="125"/>
      <c r="I187" s="112">
        <f>D191*'[2]Lfill en &amp; composn'!B$140</f>
        <v>4979.4119648594997</v>
      </c>
      <c r="J187" s="113">
        <f>E191*'[2]C&amp;I composn'!$E$28</f>
        <v>13877.877029522106</v>
      </c>
      <c r="K187" s="113">
        <f>F191*'[2]Lfill en &amp; composn'!C$140</f>
        <v>3594.7271916798068</v>
      </c>
      <c r="L187" s="114">
        <f>SUM(I187:K187)</f>
        <v>22452.01618606141</v>
      </c>
      <c r="M187" s="110"/>
      <c r="N187" s="112"/>
      <c r="O187" s="113"/>
      <c r="P187" s="113"/>
      <c r="Q187" s="114">
        <f>L187</f>
        <v>22452.01618606141</v>
      </c>
      <c r="R187" s="115">
        <f>Q187/[2]Popn!$G$40*1000</f>
        <v>45.599909795557934</v>
      </c>
      <c r="T187" s="109"/>
      <c r="U187" s="110"/>
      <c r="V187" s="110"/>
      <c r="W187" s="203"/>
      <c r="X187" s="130"/>
      <c r="Y187" s="130"/>
      <c r="Z187" s="130"/>
      <c r="AA187" s="284"/>
      <c r="AB187" s="113"/>
      <c r="AC187" s="113"/>
      <c r="AD187" s="113"/>
      <c r="AE187" s="113">
        <f>SUM(AB187:AD187)</f>
        <v>0</v>
      </c>
      <c r="AF187" s="117"/>
      <c r="AG187" s="112">
        <f>AB187</f>
        <v>0</v>
      </c>
      <c r="AH187" s="113">
        <f>AC187</f>
        <v>0</v>
      </c>
      <c r="AI187" s="113">
        <f>AD187</f>
        <v>0</v>
      </c>
      <c r="AJ187" s="114">
        <f>SUM(AG187:AI187)</f>
        <v>0</v>
      </c>
      <c r="AK187" s="118">
        <f>AJ187/[2]Popn!$G$40*1000</f>
        <v>0</v>
      </c>
      <c r="AL187" s="119"/>
      <c r="AM187" s="109"/>
      <c r="AN187" s="110"/>
      <c r="AO187" s="110"/>
      <c r="AP187" s="124"/>
      <c r="AQ187" s="126"/>
      <c r="AR187" s="113"/>
      <c r="AS187" s="113"/>
      <c r="AT187" s="113"/>
      <c r="AU187" s="120"/>
      <c r="AV187" s="113"/>
      <c r="AW187" s="114"/>
      <c r="AX187" s="110"/>
      <c r="AY187" s="127"/>
      <c r="AZ187" s="119"/>
      <c r="BA187" s="119"/>
      <c r="BB187" s="113"/>
      <c r="BC187" s="121"/>
      <c r="BG187" s="144"/>
      <c r="BU187" s="6"/>
      <c r="BV187" s="6"/>
      <c r="BW187" s="6"/>
      <c r="BX187" s="6"/>
      <c r="BY187" s="6"/>
      <c r="BZ187" s="6"/>
      <c r="CA187" s="6"/>
      <c r="CB187" s="6"/>
    </row>
    <row r="188" spans="1:80" s="106" customFormat="1" ht="13.5" thickBot="1">
      <c r="A188" s="699"/>
      <c r="B188" s="131" t="s">
        <v>37</v>
      </c>
      <c r="C188" s="132" t="s">
        <v>1</v>
      </c>
      <c r="D188" s="109"/>
      <c r="E188" s="110"/>
      <c r="F188" s="110"/>
      <c r="G188" s="203"/>
      <c r="H188" s="130">
        <f>'[2]Fly ash'!$D$260</f>
        <v>0</v>
      </c>
      <c r="I188" s="112"/>
      <c r="J188" s="113"/>
      <c r="K188" s="113"/>
      <c r="L188" s="114"/>
      <c r="M188" s="110"/>
      <c r="N188" s="127"/>
      <c r="O188" s="119"/>
      <c r="P188" s="119"/>
      <c r="Q188" s="113">
        <f>H188</f>
        <v>0</v>
      </c>
      <c r="R188" s="115">
        <f>Q188/[2]Popn!$G$40*1000</f>
        <v>0</v>
      </c>
      <c r="T188" s="109"/>
      <c r="U188" s="110"/>
      <c r="V188" s="110"/>
      <c r="W188" s="203"/>
      <c r="X188" s="130"/>
      <c r="Y188" s="130"/>
      <c r="Z188" s="130"/>
      <c r="AA188" s="285">
        <f>'[2]Fly ash'!$D$252</f>
        <v>0</v>
      </c>
      <c r="AB188" s="113"/>
      <c r="AC188" s="113"/>
      <c r="AD188" s="113"/>
      <c r="AE188" s="113"/>
      <c r="AF188" s="117"/>
      <c r="AG188" s="112"/>
      <c r="AH188" s="113"/>
      <c r="AI188" s="113"/>
      <c r="AJ188" s="114">
        <f>W188</f>
        <v>0</v>
      </c>
      <c r="AK188" s="118">
        <f>AJ188/[2]Popn!$G$40*1000</f>
        <v>0</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80" ht="13.5" thickBot="1">
      <c r="B189" s="19"/>
      <c r="C189" s="38"/>
      <c r="D189" s="57"/>
      <c r="E189" s="2"/>
      <c r="F189" s="2"/>
      <c r="G189" s="63"/>
      <c r="H189" s="2"/>
      <c r="I189" s="20"/>
      <c r="J189" s="21"/>
      <c r="K189" s="21"/>
      <c r="L189" s="22"/>
      <c r="M189" s="2"/>
      <c r="N189" s="23"/>
      <c r="O189" s="19"/>
      <c r="P189" s="19"/>
      <c r="Q189" s="19"/>
      <c r="R189" s="24"/>
      <c r="T189" s="57"/>
      <c r="U189" s="2"/>
      <c r="V189" s="2"/>
      <c r="W189" s="63"/>
      <c r="X189" s="2"/>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c r="CB189" s="106"/>
    </row>
    <row r="190" spans="1:80" ht="13.5" thickBot="1">
      <c r="C190" s="39" t="s">
        <v>38</v>
      </c>
      <c r="D190" s="58"/>
      <c r="E190" s="59"/>
      <c r="F190" s="2"/>
      <c r="G190" s="65"/>
      <c r="H190" s="2"/>
      <c r="I190" s="20"/>
      <c r="J190" s="21"/>
      <c r="K190" s="21"/>
      <c r="L190" s="22"/>
      <c r="M190" s="2"/>
      <c r="N190" s="23"/>
      <c r="O190" s="19"/>
      <c r="P190" s="19"/>
      <c r="Q190" s="19"/>
      <c r="R190" s="24"/>
      <c r="T190" s="58"/>
      <c r="U190" s="59"/>
      <c r="V190" s="2"/>
      <c r="W190" s="65"/>
      <c r="X190" s="198"/>
      <c r="Y190" s="198"/>
      <c r="Z190" s="198"/>
      <c r="AA190" s="274"/>
      <c r="AB190" s="21"/>
      <c r="AC190" s="21"/>
      <c r="AD190" s="21"/>
      <c r="AE190" s="21"/>
      <c r="AF190" s="70"/>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80" ht="13.5" thickBot="1">
      <c r="C191" s="135" t="s">
        <v>92</v>
      </c>
      <c r="D191" s="134">
        <f>[2]TAS!E$28</f>
        <v>286868</v>
      </c>
      <c r="E191" s="134">
        <f>[2]TAS!F$28</f>
        <v>145195</v>
      </c>
      <c r="F191" s="134">
        <f>[2]TAS!G$28</f>
        <v>13730</v>
      </c>
      <c r="G191" s="66">
        <f>SUM(D191:F191)</f>
        <v>445793</v>
      </c>
      <c r="H191" s="231"/>
      <c r="I191" s="41">
        <f>SUM(I148:I190)</f>
        <v>286868</v>
      </c>
      <c r="J191" s="218">
        <f>SUM(J187,J182,J179,J178,J168,J163,J157,J153)</f>
        <v>145195</v>
      </c>
      <c r="K191" s="218">
        <f>SUM(K148:K190)</f>
        <v>13729.693214658555</v>
      </c>
      <c r="L191" s="42">
        <f>SUM(L187,L182,L179,L178,L168,L163,L157,L153)</f>
        <v>445792.69321465853</v>
      </c>
      <c r="M191" s="43"/>
      <c r="N191" s="44">
        <f>SUM(N187,N182,N179,N178,N168,N163,N157,N153,N190)</f>
        <v>0</v>
      </c>
      <c r="O191" s="45">
        <f>SUM(O187,O182,O179,O178,O168,O163,O157,O153,O190)</f>
        <v>0</v>
      </c>
      <c r="P191" s="45">
        <f>SUM(P187,P182,P179,P178,P168,P163,P157,P153,P190)</f>
        <v>0</v>
      </c>
      <c r="Q191" s="133">
        <f>SUM(Q187,Q182,Q179,Q178,Q168,Q163,Q157,Q153,Q190)</f>
        <v>410752.86015704129</v>
      </c>
      <c r="R191" s="27">
        <f>SUM(R187,R182,R179,R178,R168,R163,R157,R153)</f>
        <v>834.23658776161869</v>
      </c>
      <c r="T191" s="60"/>
      <c r="U191" s="706"/>
      <c r="V191" s="707"/>
      <c r="W191" s="66">
        <f>SUM([2]TAS!$F$14:$G$14)</f>
        <v>75037</v>
      </c>
      <c r="X191" s="362"/>
      <c r="Y191" s="362"/>
      <c r="Z191" s="362"/>
      <c r="AA191" s="287"/>
      <c r="AB191" s="45">
        <f>SUM(AB187,AB182,AB179,AB178,AB168,AB163,AB157,AB153)</f>
        <v>53711.899684470314</v>
      </c>
      <c r="AC191" s="45">
        <f>W191-AB191</f>
        <v>21325.100315529686</v>
      </c>
      <c r="AD191" s="45">
        <v>0</v>
      </c>
      <c r="AE191" s="45"/>
      <c r="AF191" s="555" t="s">
        <v>195</v>
      </c>
      <c r="AG191" s="45">
        <f>SUM(AG187,AG182,AG179,AG178,AG168,AG163,AG157,AG153)</f>
        <v>53711.899684470314</v>
      </c>
      <c r="AH191" s="45">
        <f>SUM(AH187,AH182,AH179,AH178,AH168,AH163,AH157,AH153)</f>
        <v>26525.561215240985</v>
      </c>
      <c r="AI191" s="45">
        <f>SUM(AI187,AI182,AI179,AI178,AI168,AI163,AI157,AI153)</f>
        <v>0</v>
      </c>
      <c r="AJ191" s="354">
        <f>SUM(AJ187,AJ182,AJ179,AJ178,AJ168,AJ163,AJ157,AJ153,AJ190)</f>
        <v>80237.460899711295</v>
      </c>
      <c r="AK191" s="27">
        <f>SUM(AK187,AK182,AK179,AK178,AK168,AK163,AK157,AK153,AK190)</f>
        <v>162.96180035372052</v>
      </c>
      <c r="AL191" s="19"/>
      <c r="AM191" s="60"/>
      <c r="AN191" s="706"/>
      <c r="AO191" s="707"/>
      <c r="AP191" s="66"/>
      <c r="AQ191" s="71"/>
      <c r="AR191" s="45">
        <f>SUM(AR148:AR190)</f>
        <v>34585.018879646828</v>
      </c>
      <c r="AS191" s="46">
        <f>SUM(AS148:AS190)</f>
        <v>1.0000000000000002</v>
      </c>
      <c r="AT191" s="45">
        <f>SUM(AT148:AT190)</f>
        <v>62426.320067289547</v>
      </c>
      <c r="AU191" s="47"/>
      <c r="AV191" s="45"/>
      <c r="AW191" s="214"/>
      <c r="AX191" s="43"/>
      <c r="AY191" s="44">
        <f>SUM(AY187,AY182,AY179,AY178,AY168,AY163,AY157,AY153)</f>
        <v>24210.486012388763</v>
      </c>
      <c r="AZ191" s="45">
        <f>SUM(AZ187,AZ182,AZ179,AZ178,AZ168,AZ163,AZ157,AZ153)</f>
        <v>12071.268398245826</v>
      </c>
      <c r="BA191" s="45">
        <f>SUM(BA187,BA182,BA179,BA178,BA168,BA163,BA157,BA153)</f>
        <v>177.20172504692601</v>
      </c>
      <c r="BB191" s="354">
        <f>SUM(BB187,BB182,BB179,BB178,BB168,BB163,BB157,BB153,BB190)</f>
        <v>36458.95613568151</v>
      </c>
      <c r="BC191" s="27">
        <f>SUM(BC187,BC182,BC179,BC178,BC168,BC163,BC157,BC153,BC190)</f>
        <v>74.047920563116463</v>
      </c>
    </row>
    <row r="192" spans="1:80" ht="13.5" thickBot="1">
      <c r="C192" s="136" t="s">
        <v>65</v>
      </c>
      <c r="I192" s="52"/>
      <c r="Q192" s="49">
        <f>Q191+Q188</f>
        <v>410752.86015704129</v>
      </c>
      <c r="R192" s="216">
        <f>R191+R188</f>
        <v>834.23658776161869</v>
      </c>
      <c r="AJ192" s="353">
        <f>AJ191+AJ188</f>
        <v>80237.460899711295</v>
      </c>
      <c r="AK192" s="216">
        <f>AK191+AK188</f>
        <v>162.96180035372052</v>
      </c>
      <c r="BB192" s="353">
        <f>BB191+BB188</f>
        <v>36458.95613568151</v>
      </c>
      <c r="BC192" s="216">
        <f>BC191+BC188</f>
        <v>74.047920563116463</v>
      </c>
    </row>
    <row r="194" spans="3:3">
      <c r="C194" s="89"/>
    </row>
  </sheetData>
  <mergeCells count="42">
    <mergeCell ref="BC5:BC6"/>
    <mergeCell ref="AK5:AK6"/>
    <mergeCell ref="R5:R6"/>
    <mergeCell ref="J24:J25"/>
    <mergeCell ref="J71:J72"/>
    <mergeCell ref="AY5:BB5"/>
    <mergeCell ref="J118:J119"/>
    <mergeCell ref="J165:J166"/>
    <mergeCell ref="B5:B6"/>
    <mergeCell ref="C5:C6"/>
    <mergeCell ref="D5:G5"/>
    <mergeCell ref="H5:H6"/>
    <mergeCell ref="I5:L5"/>
    <mergeCell ref="N4:R4"/>
    <mergeCell ref="N5:Q5"/>
    <mergeCell ref="T5:W5"/>
    <mergeCell ref="AG5:AJ5"/>
    <mergeCell ref="AM5:AP5"/>
    <mergeCell ref="X5:AA5"/>
    <mergeCell ref="T4:AA4"/>
    <mergeCell ref="AN144:AO144"/>
    <mergeCell ref="A7:A47"/>
    <mergeCell ref="BH7:BL7"/>
    <mergeCell ref="BM7:BN7"/>
    <mergeCell ref="BH8:BK8"/>
    <mergeCell ref="AN50:AO50"/>
    <mergeCell ref="A54:A94"/>
    <mergeCell ref="BH54:BL54"/>
    <mergeCell ref="BM54:BN54"/>
    <mergeCell ref="BH55:BK55"/>
    <mergeCell ref="AN97:AO97"/>
    <mergeCell ref="A101:A141"/>
    <mergeCell ref="BH101:BL101"/>
    <mergeCell ref="BM101:BN101"/>
    <mergeCell ref="BH102:BK102"/>
    <mergeCell ref="AB64:AB67"/>
    <mergeCell ref="A148:A188"/>
    <mergeCell ref="BH148:BL148"/>
    <mergeCell ref="BM148:BN148"/>
    <mergeCell ref="BH149:BK149"/>
    <mergeCell ref="U191:V191"/>
    <mergeCell ref="AN191:AO19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CC194"/>
  <sheetViews>
    <sheetView zoomScale="80" zoomScaleNormal="80" zoomScaleSheetLayoutView="25" zoomScalePageLayoutView="10" workbookViewId="0">
      <pane xSplit="3" ySplit="6" topLeftCell="N7" activePane="bottomRight" state="frozen"/>
      <selection pane="topRight" activeCell="D1" sqref="D1"/>
      <selection pane="bottomLeft" activeCell="A8" sqref="A8"/>
      <selection pane="bottomRight" activeCell="N7" sqref="N7"/>
    </sheetView>
  </sheetViews>
  <sheetFormatPr defaultRowHeight="12.75"/>
  <cols>
    <col min="1" max="1" width="4.28515625" style="6" customWidth="1"/>
    <col min="2" max="2" width="18.5703125" style="6" customWidth="1"/>
    <col min="3" max="3" width="35" style="6" customWidth="1"/>
    <col min="4" max="4" width="11.140625" style="6" hidden="1" customWidth="1"/>
    <col min="5" max="6" width="9" style="6" hidden="1" customWidth="1"/>
    <col min="7" max="7" width="10.5703125" style="6" hidden="1" customWidth="1"/>
    <col min="8" max="8" width="10.42578125" style="6" hidden="1" customWidth="1"/>
    <col min="9" max="11" width="9.85546875" style="6" hidden="1" customWidth="1"/>
    <col min="12" max="12" width="10.140625" style="6" hidden="1" customWidth="1"/>
    <col min="13" max="13" width="46.7109375" style="140" hidden="1" customWidth="1"/>
    <col min="14" max="17" width="9.7109375" style="6" customWidth="1"/>
    <col min="18" max="18" width="7.85546875" style="6" customWidth="1"/>
    <col min="19" max="19" width="2.7109375" style="6" hidden="1" customWidth="1"/>
    <col min="20" max="20" width="18.42578125" style="6" hidden="1" customWidth="1"/>
    <col min="21" max="21" width="8.140625" style="6" hidden="1" customWidth="1"/>
    <col min="22" max="22" width="9.85546875" style="6" hidden="1" customWidth="1"/>
    <col min="23" max="23" width="5.5703125" style="6" hidden="1" customWidth="1"/>
    <col min="24" max="25" width="7.140625" style="6" hidden="1" customWidth="1"/>
    <col min="26" max="26" width="6" style="6" hidden="1" customWidth="1"/>
    <col min="27" max="27" width="9.85546875" style="6" hidden="1" customWidth="1"/>
    <col min="28" max="28" width="21.42578125" style="6" hidden="1" customWidth="1"/>
    <col min="29" max="29" width="4.28515625" style="6" hidden="1" customWidth="1"/>
    <col min="30" max="30" width="5" style="6" hidden="1" customWidth="1"/>
    <col min="31" max="31" width="5.5703125" style="6" hidden="1" customWidth="1"/>
    <col min="32" max="32" width="33" style="140" hidden="1" customWidth="1"/>
    <col min="33" max="36" width="9.7109375" style="6" customWidth="1"/>
    <col min="37" max="37" width="7.85546875" style="6" customWidth="1"/>
    <col min="38" max="38" width="2.7109375" style="6" customWidth="1"/>
    <col min="39" max="39" width="5.5703125" style="6" hidden="1" customWidth="1"/>
    <col min="40" max="40" width="6" style="6" hidden="1" customWidth="1"/>
    <col min="41" max="41" width="12.140625" style="6" hidden="1" customWidth="1"/>
    <col min="42" max="42" width="6" style="6" hidden="1" customWidth="1"/>
    <col min="43" max="43" width="23.85546875" style="6" hidden="1" customWidth="1"/>
    <col min="44" max="49" width="11.42578125" style="6" hidden="1" customWidth="1"/>
    <col min="50" max="50" width="33" style="6" hidden="1" customWidth="1"/>
    <col min="51" max="54" width="9.7109375" style="6" customWidth="1"/>
    <col min="55" max="55" width="8" style="6" customWidth="1"/>
    <col min="56" max="56" width="2.85546875" style="6" customWidth="1"/>
    <col min="57" max="58" width="9.140625" style="6"/>
    <col min="59" max="59" width="9.140625" style="140"/>
    <col min="60" max="16384" width="9.140625" style="6"/>
  </cols>
  <sheetData>
    <row r="1" spans="1:73" s="1" customFormat="1" ht="21">
      <c r="A1" s="1" t="s">
        <v>253</v>
      </c>
      <c r="M1" s="557"/>
      <c r="AF1" s="139"/>
      <c r="BG1" s="139"/>
    </row>
    <row r="2" spans="1:73" s="157" customFormat="1" ht="13.5" thickBot="1">
      <c r="M2" s="140"/>
      <c r="AF2" s="193"/>
      <c r="BG2" s="193"/>
    </row>
    <row r="3" spans="1:73" s="160" customFormat="1" ht="19.5" customHeight="1">
      <c r="B3" s="161"/>
      <c r="C3" s="162"/>
      <c r="D3" s="165" t="s">
        <v>77</v>
      </c>
      <c r="E3" s="166"/>
      <c r="F3" s="228"/>
      <c r="G3" s="166"/>
      <c r="H3" s="166"/>
      <c r="I3" s="166"/>
      <c r="J3" s="166"/>
      <c r="K3" s="166"/>
      <c r="L3" s="166"/>
      <c r="M3" s="55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29.25" customHeight="1">
      <c r="B4" s="158"/>
      <c r="C4" s="159"/>
      <c r="D4" s="181"/>
      <c r="E4" s="182"/>
      <c r="F4" s="183" t="s">
        <v>53</v>
      </c>
      <c r="G4" s="184"/>
      <c r="H4" s="183"/>
      <c r="I4" s="185"/>
      <c r="J4" s="186"/>
      <c r="K4" s="186"/>
      <c r="L4" s="182" t="s">
        <v>41</v>
      </c>
      <c r="M4" s="558"/>
      <c r="N4" s="708" t="s">
        <v>39</v>
      </c>
      <c r="O4" s="708"/>
      <c r="P4" s="708"/>
      <c r="Q4" s="708"/>
      <c r="R4" s="709"/>
      <c r="T4" s="717" t="s">
        <v>53</v>
      </c>
      <c r="U4" s="708"/>
      <c r="V4" s="708"/>
      <c r="W4" s="708"/>
      <c r="X4" s="708"/>
      <c r="Y4" s="708"/>
      <c r="Z4" s="708"/>
      <c r="AA4" s="709"/>
      <c r="AB4" s="189" t="s">
        <v>41</v>
      </c>
      <c r="AC4" s="8"/>
      <c r="AD4" s="8"/>
      <c r="AE4" s="8"/>
      <c r="AF4" s="559"/>
      <c r="AG4" s="190"/>
      <c r="AH4" s="191" t="s">
        <v>39</v>
      </c>
      <c r="AI4" s="183"/>
      <c r="AJ4" s="183"/>
      <c r="AK4" s="192"/>
      <c r="AL4" s="7"/>
      <c r="AM4" s="181"/>
      <c r="AN4" s="182"/>
      <c r="AO4" s="183" t="s">
        <v>53</v>
      </c>
      <c r="AP4" s="184"/>
      <c r="AQ4" s="188"/>
      <c r="AR4" s="7"/>
      <c r="AS4" s="7"/>
      <c r="AT4" s="7"/>
      <c r="AU4" s="182" t="s">
        <v>41</v>
      </c>
      <c r="AV4" s="186"/>
      <c r="AW4" s="186"/>
      <c r="AX4" s="7"/>
      <c r="AY4" s="190"/>
      <c r="AZ4" s="191" t="s">
        <v>39</v>
      </c>
      <c r="BA4" s="183"/>
      <c r="BB4" s="183"/>
      <c r="BC4" s="192"/>
    </row>
    <row r="5" spans="1:73" ht="30.75" customHeight="1">
      <c r="B5" s="720" t="s">
        <v>184</v>
      </c>
      <c r="C5" s="722" t="s">
        <v>185</v>
      </c>
      <c r="D5" s="710" t="s">
        <v>61</v>
      </c>
      <c r="E5" s="711"/>
      <c r="F5" s="711"/>
      <c r="G5" s="712"/>
      <c r="H5" s="718" t="s">
        <v>63</v>
      </c>
      <c r="I5" s="710" t="s">
        <v>50</v>
      </c>
      <c r="J5" s="711"/>
      <c r="K5" s="711"/>
      <c r="L5" s="712"/>
      <c r="M5" s="559"/>
      <c r="N5" s="710" t="s">
        <v>55</v>
      </c>
      <c r="O5" s="711"/>
      <c r="P5" s="711"/>
      <c r="Q5" s="712"/>
      <c r="R5" s="718" t="s">
        <v>62</v>
      </c>
      <c r="T5" s="710" t="s">
        <v>61</v>
      </c>
      <c r="U5" s="711"/>
      <c r="V5" s="711"/>
      <c r="W5" s="712"/>
      <c r="X5" s="715" t="s">
        <v>63</v>
      </c>
      <c r="Y5" s="711"/>
      <c r="Z5" s="711"/>
      <c r="AA5" s="716"/>
      <c r="AB5" s="7"/>
      <c r="AC5" s="7"/>
      <c r="AD5" s="7"/>
      <c r="AE5" s="7"/>
      <c r="AF5" s="564"/>
      <c r="AG5" s="710" t="s">
        <v>66</v>
      </c>
      <c r="AH5" s="713"/>
      <c r="AI5" s="713"/>
      <c r="AJ5" s="714"/>
      <c r="AK5" s="718" t="s">
        <v>62</v>
      </c>
      <c r="AL5" s="7"/>
      <c r="AM5" s="710" t="s">
        <v>61</v>
      </c>
      <c r="AN5" s="711"/>
      <c r="AO5" s="711"/>
      <c r="AP5" s="711"/>
      <c r="AQ5" s="177" t="s">
        <v>63</v>
      </c>
      <c r="AR5" s="7"/>
      <c r="AS5" s="178" t="s">
        <v>49</v>
      </c>
      <c r="AT5" s="178"/>
      <c r="AU5" s="179"/>
      <c r="AV5" s="15"/>
      <c r="AW5" s="180"/>
      <c r="AX5" s="7"/>
      <c r="AY5" s="710" t="s">
        <v>60</v>
      </c>
      <c r="AZ5" s="711"/>
      <c r="BA5" s="711"/>
      <c r="BB5" s="712"/>
      <c r="BC5" s="718" t="s">
        <v>62</v>
      </c>
      <c r="BD5" s="8"/>
    </row>
    <row r="6" spans="1:73" ht="51" customHeight="1" thickBot="1">
      <c r="B6" s="721"/>
      <c r="C6" s="723"/>
      <c r="D6" s="9" t="s">
        <v>44</v>
      </c>
      <c r="E6" s="10" t="s">
        <v>45</v>
      </c>
      <c r="F6" s="10" t="s">
        <v>46</v>
      </c>
      <c r="G6" s="11" t="s">
        <v>40</v>
      </c>
      <c r="H6" s="719"/>
      <c r="I6" s="9" t="s">
        <v>44</v>
      </c>
      <c r="J6" s="10" t="s">
        <v>45</v>
      </c>
      <c r="K6" s="10" t="s">
        <v>46</v>
      </c>
      <c r="L6" s="11" t="s">
        <v>40</v>
      </c>
      <c r="M6" s="560" t="s">
        <v>48</v>
      </c>
      <c r="N6" s="9" t="s">
        <v>44</v>
      </c>
      <c r="O6" s="10" t="s">
        <v>45</v>
      </c>
      <c r="P6" s="10" t="s">
        <v>46</v>
      </c>
      <c r="Q6" s="10" t="s">
        <v>40</v>
      </c>
      <c r="R6" s="719"/>
      <c r="T6" s="9" t="s">
        <v>44</v>
      </c>
      <c r="U6" s="10" t="s">
        <v>45</v>
      </c>
      <c r="V6" s="10" t="s">
        <v>46</v>
      </c>
      <c r="W6" s="11" t="s">
        <v>40</v>
      </c>
      <c r="X6" s="14" t="s">
        <v>44</v>
      </c>
      <c r="Y6" s="10" t="s">
        <v>45</v>
      </c>
      <c r="Z6" s="10" t="s">
        <v>46</v>
      </c>
      <c r="AA6" s="11" t="s">
        <v>40</v>
      </c>
      <c r="AB6" s="9" t="s">
        <v>44</v>
      </c>
      <c r="AC6" s="10" t="s">
        <v>45</v>
      </c>
      <c r="AD6" s="10" t="s">
        <v>46</v>
      </c>
      <c r="AE6" s="10" t="s">
        <v>40</v>
      </c>
      <c r="AF6" s="565" t="s">
        <v>48</v>
      </c>
      <c r="AG6" s="9" t="s">
        <v>44</v>
      </c>
      <c r="AH6" s="10" t="s">
        <v>45</v>
      </c>
      <c r="AI6" s="10" t="s">
        <v>46</v>
      </c>
      <c r="AJ6" s="10" t="s">
        <v>40</v>
      </c>
      <c r="AK6" s="719"/>
      <c r="AL6" s="13"/>
      <c r="AM6" s="9" t="s">
        <v>44</v>
      </c>
      <c r="AN6" s="10" t="s">
        <v>45</v>
      </c>
      <c r="AO6" s="10" t="s">
        <v>46</v>
      </c>
      <c r="AP6" s="10" t="s">
        <v>40</v>
      </c>
      <c r="AQ6" s="12"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64</v>
      </c>
      <c r="B7" s="16" t="s">
        <v>3</v>
      </c>
      <c r="C7" s="17" t="s">
        <v>16</v>
      </c>
      <c r="D7" s="55"/>
      <c r="E7" s="56"/>
      <c r="F7" s="2"/>
      <c r="G7" s="63"/>
      <c r="H7" s="5"/>
      <c r="I7" s="20"/>
      <c r="J7" s="21"/>
      <c r="K7" s="21"/>
      <c r="L7" s="22"/>
      <c r="M7" s="561"/>
      <c r="N7" s="23"/>
      <c r="O7" s="19"/>
      <c r="P7" s="19"/>
      <c r="Q7" s="19"/>
      <c r="R7" s="24"/>
      <c r="T7" s="196">
        <f>SUMIF([2]VIC!$D$186:$D$217,$C7,[2]VIC!K$186:K$217)</f>
        <v>3394</v>
      </c>
      <c r="U7" s="197">
        <f>SUMIF([2]VIC!$D$186:$D$217,$C7,[2]VIC!L$186:L$217)</f>
        <v>6007</v>
      </c>
      <c r="V7" s="197">
        <f>SUMIF([2]VIC!$D$186:$D$217,$C7,[2]VIC!M$186:M$217)</f>
        <v>214076</v>
      </c>
      <c r="W7" s="199"/>
      <c r="X7" s="198"/>
      <c r="Y7" s="198"/>
      <c r="Z7" s="198"/>
      <c r="AA7" s="200"/>
      <c r="AB7" s="26"/>
      <c r="AC7" s="26"/>
      <c r="AD7" s="26"/>
      <c r="AE7" s="26"/>
      <c r="AF7" s="566"/>
      <c r="AG7" s="20">
        <f t="shared" ref="AG7:AI11" si="0">T7</f>
        <v>3394</v>
      </c>
      <c r="AH7" s="21">
        <f t="shared" si="0"/>
        <v>6007</v>
      </c>
      <c r="AI7" s="21">
        <f t="shared" si="0"/>
        <v>214076</v>
      </c>
      <c r="AJ7" s="21">
        <f>SUM(AG7:AI7)</f>
        <v>223477</v>
      </c>
      <c r="AK7" s="27">
        <f>AJ7/[2]Popn!$H$43*1000</f>
        <v>40.559924313018179</v>
      </c>
      <c r="AL7" s="19"/>
      <c r="AM7" s="55"/>
      <c r="AN7" s="56"/>
      <c r="AO7" s="2"/>
      <c r="AP7" s="63"/>
      <c r="AQ7" s="67"/>
      <c r="AR7" s="21"/>
      <c r="AS7" s="21"/>
      <c r="AT7" s="21"/>
      <c r="AU7" s="25"/>
      <c r="AV7" s="21"/>
      <c r="AW7" s="22"/>
      <c r="AX7" s="56"/>
      <c r="AY7" s="23"/>
      <c r="AZ7" s="19"/>
      <c r="BA7" s="19"/>
      <c r="BB7" s="19"/>
      <c r="BC7" s="24"/>
      <c r="BD7" s="8"/>
      <c r="BH7" s="700" t="s">
        <v>70</v>
      </c>
      <c r="BI7" s="701"/>
      <c r="BJ7" s="701"/>
      <c r="BK7" s="701"/>
      <c r="BL7" s="702"/>
      <c r="BM7" s="700" t="s">
        <v>71</v>
      </c>
      <c r="BN7" s="702"/>
      <c r="BP7" s="309" t="s">
        <v>105</v>
      </c>
      <c r="BQ7" s="8"/>
      <c r="BR7" s="8"/>
      <c r="BS7" s="8"/>
      <c r="BT7" s="8"/>
      <c r="BU7" s="8"/>
    </row>
    <row r="8" spans="1:73">
      <c r="A8" s="699"/>
      <c r="B8" s="23"/>
      <c r="C8" s="17" t="s">
        <v>17</v>
      </c>
      <c r="D8" s="57"/>
      <c r="E8" s="2"/>
      <c r="F8" s="2"/>
      <c r="G8" s="63"/>
      <c r="H8" s="5"/>
      <c r="I8" s="20"/>
      <c r="J8" s="21"/>
      <c r="K8" s="21"/>
      <c r="L8" s="22"/>
      <c r="M8" s="212"/>
      <c r="N8" s="23"/>
      <c r="O8" s="19"/>
      <c r="P8" s="19"/>
      <c r="Q8" s="19"/>
      <c r="R8" s="24"/>
      <c r="T8" s="201">
        <f>SUMIF([2]VIC!$D$186:$D$217,$C8,[2]VIC!K$186:K$217)</f>
        <v>2216</v>
      </c>
      <c r="U8" s="198">
        <f>SUMIF([2]VIC!$D$186:$D$217,$C8,[2]VIC!L$186:L$217)</f>
        <v>5408</v>
      </c>
      <c r="V8" s="198">
        <f>SUMIF([2]VIC!$D$186:$D$217,$C8,[2]VIC!M$186:M$217)</f>
        <v>489649</v>
      </c>
      <c r="W8" s="199"/>
      <c r="X8" s="198"/>
      <c r="Y8" s="198"/>
      <c r="Z8" s="198"/>
      <c r="AA8" s="200"/>
      <c r="AB8" s="21"/>
      <c r="AC8" s="21"/>
      <c r="AD8" s="21"/>
      <c r="AE8" s="21"/>
      <c r="AF8" s="355"/>
      <c r="AG8" s="20">
        <f t="shared" si="0"/>
        <v>2216</v>
      </c>
      <c r="AH8" s="21">
        <f t="shared" si="0"/>
        <v>5408</v>
      </c>
      <c r="AI8" s="21">
        <f t="shared" si="0"/>
        <v>489649</v>
      </c>
      <c r="AJ8" s="21">
        <f>SUM(AG8:AI8)</f>
        <v>497273</v>
      </c>
      <c r="AK8" s="29">
        <f>AJ8/[2]Popn!$H$43*1000</f>
        <v>90.25248792004318</v>
      </c>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12"/>
      <c r="F9" s="2"/>
      <c r="G9" s="63"/>
      <c r="H9" s="5"/>
      <c r="I9" s="20"/>
      <c r="J9" s="21"/>
      <c r="K9" s="21"/>
      <c r="L9" s="22"/>
      <c r="M9" s="212"/>
      <c r="N9" s="23"/>
      <c r="O9" s="19"/>
      <c r="P9" s="19"/>
      <c r="Q9" s="19"/>
      <c r="R9" s="24"/>
      <c r="T9" s="201">
        <f>SUMIF([2]VIC!$D$186:$D$217,$C9,[2]VIC!K$186:K$217)</f>
        <v>171552</v>
      </c>
      <c r="U9" s="198">
        <f>SUMIF([2]VIC!$D$186:$D$217,$C9,[2]VIC!L$186:L$217)</f>
        <v>6414</v>
      </c>
      <c r="V9" s="198">
        <f>SUMIF([2]VIC!$D$186:$D$217,$C9,[2]VIC!M$186:M$217)</f>
        <v>1996940</v>
      </c>
      <c r="W9" s="199"/>
      <c r="X9" s="198"/>
      <c r="Y9" s="198"/>
      <c r="Z9" s="198"/>
      <c r="AA9" s="200"/>
      <c r="AB9" s="21"/>
      <c r="AC9" s="21"/>
      <c r="AD9" s="21"/>
      <c r="AE9" s="21"/>
      <c r="AF9" s="355"/>
      <c r="AG9" s="20">
        <f t="shared" si="0"/>
        <v>171552</v>
      </c>
      <c r="AH9" s="21">
        <f t="shared" si="0"/>
        <v>6414</v>
      </c>
      <c r="AI9" s="21">
        <f t="shared" si="0"/>
        <v>1996940</v>
      </c>
      <c r="AJ9" s="21">
        <f>SUM(AG9:AI9)</f>
        <v>2174906</v>
      </c>
      <c r="AK9" s="29">
        <f>AJ9/[2]Popn!$H$43*1000</f>
        <v>394.73423550490253</v>
      </c>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12"/>
      <c r="N10" s="23"/>
      <c r="O10" s="19"/>
      <c r="P10" s="19"/>
      <c r="Q10" s="19"/>
      <c r="R10" s="24"/>
      <c r="T10" s="201">
        <f>SUMIF([2]VIC!$D$186:$D$217,$C10,[2]VIC!K$186:K$217)</f>
        <v>0</v>
      </c>
      <c r="U10" s="198">
        <f>SUMIF([2]VIC!$D$186:$D$217,$C10,[2]VIC!L$186:L$217)</f>
        <v>0</v>
      </c>
      <c r="V10" s="198">
        <f>SUMIF([2]VIC!$D$186:$D$217,$C10,[2]VIC!M$186:M$217)</f>
        <v>285161</v>
      </c>
      <c r="W10" s="199"/>
      <c r="X10" s="198"/>
      <c r="Y10" s="198"/>
      <c r="Z10" s="198"/>
      <c r="AA10" s="70"/>
      <c r="AB10" s="21"/>
      <c r="AC10" s="21"/>
      <c r="AD10" s="21"/>
      <c r="AE10" s="21"/>
      <c r="AF10" s="355"/>
      <c r="AG10" s="20">
        <f t="shared" si="0"/>
        <v>0</v>
      </c>
      <c r="AH10" s="21">
        <f t="shared" si="0"/>
        <v>0</v>
      </c>
      <c r="AI10" s="21">
        <f t="shared" si="0"/>
        <v>285161</v>
      </c>
      <c r="AJ10" s="21">
        <f>SUM(AG10:AI10)</f>
        <v>285161</v>
      </c>
      <c r="AK10" s="29">
        <f>AJ10/[2]Popn!$H$43*1000</f>
        <v>51.755252563013542</v>
      </c>
      <c r="AL10" s="19"/>
      <c r="AM10" s="57"/>
      <c r="AN10" s="2"/>
      <c r="AO10" s="2"/>
      <c r="AP10" s="63"/>
      <c r="AQ10" s="68"/>
      <c r="AR10" s="21"/>
      <c r="AS10" s="21"/>
      <c r="AT10" s="21"/>
      <c r="AU10" s="25"/>
      <c r="AV10" s="21"/>
      <c r="AW10" s="22"/>
      <c r="AX10" s="2"/>
      <c r="AY10" s="23"/>
      <c r="AZ10" s="19"/>
      <c r="BA10" s="19"/>
      <c r="BB10" s="19"/>
      <c r="BC10" s="24"/>
      <c r="BD10" s="30"/>
      <c r="BG10" s="145" t="s">
        <v>72</v>
      </c>
      <c r="BH10" s="52">
        <f>N50/1000</f>
        <v>1646.7848177484605</v>
      </c>
      <c r="BI10" s="52">
        <f>O50/1000</f>
        <v>1526.673369322931</v>
      </c>
      <c r="BJ10" s="52">
        <f>P50/1000</f>
        <v>1385.085198940016</v>
      </c>
      <c r="BK10" s="53">
        <f>Q50/1000</f>
        <v>4558.5433860114072</v>
      </c>
      <c r="BL10" s="54">
        <f>R50/1000</f>
        <v>0.82735214234230936</v>
      </c>
      <c r="BM10" s="51">
        <f>Q51/1000</f>
        <v>5463.4982050142426</v>
      </c>
      <c r="BN10" s="54">
        <f>R51/1000</f>
        <v>0.99159678033841681</v>
      </c>
      <c r="BP10" s="30"/>
      <c r="BQ10" s="30"/>
      <c r="BR10" s="30"/>
      <c r="BS10" s="31"/>
      <c r="BT10" s="31"/>
      <c r="BU10" s="32"/>
    </row>
    <row r="11" spans="1:73">
      <c r="A11" s="699"/>
      <c r="B11" s="23"/>
      <c r="C11" s="17" t="s">
        <v>183</v>
      </c>
      <c r="D11" s="57"/>
      <c r="E11" s="2"/>
      <c r="F11" s="2"/>
      <c r="G11" s="63"/>
      <c r="H11" s="2"/>
      <c r="I11" s="20"/>
      <c r="J11" s="21"/>
      <c r="K11" s="21"/>
      <c r="L11" s="22"/>
      <c r="M11" s="212"/>
      <c r="N11" s="23"/>
      <c r="O11" s="19"/>
      <c r="P11" s="19"/>
      <c r="Q11" s="19"/>
      <c r="R11" s="33"/>
      <c r="T11" s="201">
        <f>SUMIF([2]VIC!$D$186:$D$217,$C11,[2]VIC!K$186:K$217)</f>
        <v>234</v>
      </c>
      <c r="U11" s="198">
        <f>SUMIF([2]VIC!$D$186:$D$217,$C11,[2]VIC!L$186:L$217)</f>
        <v>0</v>
      </c>
      <c r="V11" s="198">
        <f>SUMIF([2]VIC!$D$186:$D$217,$C11,[2]VIC!M$186:M$217)</f>
        <v>32000</v>
      </c>
      <c r="W11" s="199"/>
      <c r="X11" s="198"/>
      <c r="Y11" s="198"/>
      <c r="Z11" s="198"/>
      <c r="AA11" s="70"/>
      <c r="AB11" s="21"/>
      <c r="AC11" s="21"/>
      <c r="AD11" s="21"/>
      <c r="AE11" s="21"/>
      <c r="AF11" s="355"/>
      <c r="AG11" s="20">
        <f t="shared" si="0"/>
        <v>234</v>
      </c>
      <c r="AH11" s="21">
        <f t="shared" si="0"/>
        <v>0</v>
      </c>
      <c r="AI11" s="21">
        <f t="shared" si="0"/>
        <v>32000</v>
      </c>
      <c r="AJ11" s="21">
        <f>SUM(AG11:AI11)</f>
        <v>32234</v>
      </c>
      <c r="AK11" s="29">
        <f>AJ11/[2]Popn!$H$43*1000</f>
        <v>5.8503049544509178</v>
      </c>
      <c r="AL11" s="19"/>
      <c r="AM11" s="57"/>
      <c r="AN11" s="2"/>
      <c r="AO11" s="2"/>
      <c r="AP11" s="63"/>
      <c r="AQ11" s="68"/>
      <c r="AR11" s="21"/>
      <c r="AS11" s="21"/>
      <c r="AT11" s="21"/>
      <c r="AU11" s="25"/>
      <c r="AV11" s="21"/>
      <c r="AW11" s="22"/>
      <c r="AX11" s="2"/>
      <c r="AY11" s="23"/>
      <c r="AZ11" s="19"/>
      <c r="BA11" s="19"/>
      <c r="BB11" s="19"/>
      <c r="BC11" s="24"/>
      <c r="BD11" s="30"/>
      <c r="BG11" s="77" t="s">
        <v>68</v>
      </c>
      <c r="BH11" s="52">
        <f>AG50/1000</f>
        <v>1543.590132</v>
      </c>
      <c r="BI11" s="52">
        <f>AH50/1000</f>
        <v>2484.37538</v>
      </c>
      <c r="BJ11" s="52">
        <f>AI50/1000</f>
        <v>3140.6844879999999</v>
      </c>
      <c r="BK11" s="53">
        <f>AJ50/1000</f>
        <v>7168.65</v>
      </c>
      <c r="BL11" s="54">
        <f>AK50/1000</f>
        <v>1.3010730474568648</v>
      </c>
      <c r="BM11" s="51">
        <f>AJ51/1000</f>
        <v>8767.0314808180337</v>
      </c>
      <c r="BN11" s="54">
        <f>AK51/1000</f>
        <v>1.5911710525549703</v>
      </c>
    </row>
    <row r="12" spans="1:73" s="106" customFormat="1">
      <c r="A12" s="699"/>
      <c r="B12" s="107" t="s">
        <v>67</v>
      </c>
      <c r="C12" s="108"/>
      <c r="D12" s="109"/>
      <c r="E12" s="110"/>
      <c r="F12" s="110"/>
      <c r="G12" s="111"/>
      <c r="H12" s="110"/>
      <c r="I12" s="112">
        <f>D50*[2]VIC!D$24/(1-[2]VIC!$D$25)</f>
        <v>33504.542734323208</v>
      </c>
      <c r="J12" s="113">
        <f>$E$50*[2]VIC!E$31*[2]VIC!E$24/(1-[2]VIC!$E$25)</f>
        <v>185832.8783108861</v>
      </c>
      <c r="K12" s="113">
        <f>$E$50*[2]VIC!F$31*[2]VIC!F$24/(1-[2]VIC!$F$25)</f>
        <v>815684.82197784504</v>
      </c>
      <c r="L12" s="114">
        <f>SUM(I12:K12)</f>
        <v>1035022.2430230543</v>
      </c>
      <c r="M12" s="562"/>
      <c r="N12" s="112">
        <f>I12-AU12</f>
        <v>33504.542734323208</v>
      </c>
      <c r="O12" s="113">
        <f>J12-AV12</f>
        <v>185832.8783108861</v>
      </c>
      <c r="P12" s="113">
        <f>K12-AW12</f>
        <v>815684.82197784504</v>
      </c>
      <c r="Q12" s="113">
        <f>SUM(N12:P12)</f>
        <v>1035022.2430230543</v>
      </c>
      <c r="R12" s="115">
        <f>Q12/[2]Popn!$H$43*1000</f>
        <v>187.85120544532722</v>
      </c>
      <c r="T12" s="201"/>
      <c r="U12" s="198"/>
      <c r="V12" s="198"/>
      <c r="W12" s="203"/>
      <c r="X12" s="130"/>
      <c r="Y12" s="130"/>
      <c r="Z12" s="130"/>
      <c r="AA12" s="117"/>
      <c r="AB12" s="113"/>
      <c r="AC12" s="113"/>
      <c r="AD12" s="113"/>
      <c r="AE12" s="113"/>
      <c r="AF12" s="567"/>
      <c r="AG12" s="112">
        <f>SUM(AG7:AG11)</f>
        <v>177396</v>
      </c>
      <c r="AH12" s="113">
        <f>SUM(AH7:AH11)</f>
        <v>17829</v>
      </c>
      <c r="AI12" s="113">
        <f>SUM(AI7:AI11)</f>
        <v>3017826</v>
      </c>
      <c r="AJ12" s="113">
        <f>SUM(AJ7:AJ11)</f>
        <v>3213051</v>
      </c>
      <c r="AK12" s="118">
        <f>SUM(AK7:AK11)</f>
        <v>583.15220525542838</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219.16048530153952</v>
      </c>
      <c r="BI12" s="52">
        <f>AZ50/1000</f>
        <v>80.377808597069063</v>
      </c>
      <c r="BJ12" s="52">
        <f>BA50/1000</f>
        <v>1.743586339984408</v>
      </c>
      <c r="BK12" s="53">
        <f>BB50/1000</f>
        <v>301.28188023859303</v>
      </c>
      <c r="BL12" s="54">
        <f>BC50/1000</f>
        <v>5.4681109283555532E-2</v>
      </c>
      <c r="BM12" s="51">
        <f>BB51/1000</f>
        <v>301.28188023859303</v>
      </c>
      <c r="BN12" s="54">
        <f>BC51/1000</f>
        <v>5.4681109283555532E-2</v>
      </c>
      <c r="BO12" s="6"/>
    </row>
    <row r="13" spans="1:73">
      <c r="A13" s="699"/>
      <c r="B13" s="23" t="s">
        <v>4</v>
      </c>
      <c r="C13" s="17" t="s">
        <v>19</v>
      </c>
      <c r="D13" s="57"/>
      <c r="E13" s="2"/>
      <c r="F13" s="2"/>
      <c r="G13" s="63"/>
      <c r="H13" s="2"/>
      <c r="I13" s="20"/>
      <c r="J13" s="21"/>
      <c r="K13" s="21"/>
      <c r="L13" s="22"/>
      <c r="M13" s="212"/>
      <c r="N13" s="23"/>
      <c r="O13" s="19"/>
      <c r="P13" s="19"/>
      <c r="Q13" s="19"/>
      <c r="R13" s="33"/>
      <c r="T13" s="201">
        <f>SUMIF([2]VIC!$D$186:$D$217,$C13,[2]VIC!K$186:K$217)</f>
        <v>197902</v>
      </c>
      <c r="U13" s="198">
        <f>SUMIF([2]VIC!$D$186:$D$217,$C13,[2]VIC!L$186:L$217)</f>
        <v>928538</v>
      </c>
      <c r="V13" s="198">
        <f>SUMIF([2]VIC!$D$186:$D$217,$C13,[2]VIC!M$186:M$217)</f>
        <v>75505</v>
      </c>
      <c r="W13" s="199"/>
      <c r="X13" s="198"/>
      <c r="Y13" s="198"/>
      <c r="Z13" s="198"/>
      <c r="AA13" s="70"/>
      <c r="AB13" s="21"/>
      <c r="AC13" s="21"/>
      <c r="AD13" s="21"/>
      <c r="AE13" s="21"/>
      <c r="AF13" s="355"/>
      <c r="AG13" s="20">
        <f t="shared" ref="AG13:AI15" si="1">T13</f>
        <v>197902</v>
      </c>
      <c r="AH13" s="21">
        <f t="shared" si="1"/>
        <v>928538</v>
      </c>
      <c r="AI13" s="21">
        <f t="shared" si="1"/>
        <v>75505</v>
      </c>
      <c r="AJ13" s="21">
        <f>SUM(AG13:AI13)</f>
        <v>1201945</v>
      </c>
      <c r="AK13" s="29">
        <f>AJ13/[2]Popn!$H$43*1000</f>
        <v>218.14682597498012</v>
      </c>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2">SUM(BH11:BH12)/BH14</f>
        <v>0.51700609976962719</v>
      </c>
      <c r="BI13" s="86">
        <f t="shared" si="2"/>
        <v>0.62686037554122409</v>
      </c>
      <c r="BJ13" s="86">
        <f t="shared" si="2"/>
        <v>0.69407374085143703</v>
      </c>
      <c r="BK13" s="87">
        <f t="shared" si="2"/>
        <v>0.62102067925417281</v>
      </c>
      <c r="BL13" s="87">
        <f t="shared" si="2"/>
        <v>0.62102067925417292</v>
      </c>
      <c r="BM13" s="88">
        <f t="shared" si="2"/>
        <v>0.62403185726888211</v>
      </c>
      <c r="BN13" s="87">
        <f t="shared" si="2"/>
        <v>0.624031857268882</v>
      </c>
    </row>
    <row r="14" spans="1:73">
      <c r="A14" s="699"/>
      <c r="B14" s="23"/>
      <c r="C14" s="17" t="s">
        <v>20</v>
      </c>
      <c r="D14" s="57"/>
      <c r="E14" s="2"/>
      <c r="F14" s="2"/>
      <c r="G14" s="63"/>
      <c r="H14" s="2"/>
      <c r="I14" s="20"/>
      <c r="J14" s="21"/>
      <c r="K14" s="21"/>
      <c r="L14" s="22"/>
      <c r="M14" s="212"/>
      <c r="N14" s="23"/>
      <c r="O14" s="19"/>
      <c r="P14" s="19"/>
      <c r="Q14" s="19"/>
      <c r="R14" s="33"/>
      <c r="T14" s="201">
        <f>SUMIF([2]VIC!$D$186:$D$217,$C14,[2]VIC!K$186:K$217)</f>
        <v>18567</v>
      </c>
      <c r="U14" s="198">
        <f>SUMIF([2]VIC!$D$186:$D$217,$C14,[2]VIC!L$186:L$217)</f>
        <v>58148</v>
      </c>
      <c r="V14" s="198">
        <f>SUMIF([2]VIC!$D$186:$D$217,$C14,[2]VIC!M$186:M$217)</f>
        <v>7109</v>
      </c>
      <c r="W14" s="199"/>
      <c r="X14" s="198"/>
      <c r="Y14" s="198"/>
      <c r="Z14" s="198"/>
      <c r="AA14" s="70"/>
      <c r="AB14" s="21"/>
      <c r="AC14" s="21"/>
      <c r="AD14" s="21"/>
      <c r="AE14" s="21"/>
      <c r="AF14" s="355"/>
      <c r="AG14" s="20">
        <f t="shared" si="1"/>
        <v>18567</v>
      </c>
      <c r="AH14" s="21">
        <f t="shared" si="1"/>
        <v>58148</v>
      </c>
      <c r="AI14" s="21">
        <f t="shared" si="1"/>
        <v>7109</v>
      </c>
      <c r="AJ14" s="21">
        <f>SUM(AG14:AI14)</f>
        <v>83824</v>
      </c>
      <c r="AK14" s="29">
        <f>AJ14/[2]Popn!$H$43*1000</f>
        <v>15.213624201212813</v>
      </c>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3">SUM(BH10:BH12)</f>
        <v>3409.5354350500002</v>
      </c>
      <c r="BI14" s="52">
        <f t="shared" si="3"/>
        <v>4091.4265579200001</v>
      </c>
      <c r="BJ14" s="52">
        <f t="shared" si="3"/>
        <v>4527.5132732800002</v>
      </c>
      <c r="BK14" s="74">
        <f t="shared" si="3"/>
        <v>12028.475266250001</v>
      </c>
      <c r="BL14" s="76">
        <f t="shared" si="3"/>
        <v>2.1831062990827297</v>
      </c>
      <c r="BM14" s="81">
        <f t="shared" si="3"/>
        <v>14531.81156607087</v>
      </c>
      <c r="BN14" s="76">
        <f t="shared" si="3"/>
        <v>2.6374489421769427</v>
      </c>
    </row>
    <row r="15" spans="1:73">
      <c r="A15" s="699"/>
      <c r="B15" s="23"/>
      <c r="C15" s="17" t="s">
        <v>21</v>
      </c>
      <c r="D15" s="57"/>
      <c r="E15" s="2"/>
      <c r="F15" s="2"/>
      <c r="G15" s="63"/>
      <c r="H15" s="2"/>
      <c r="I15" s="20"/>
      <c r="J15" s="21"/>
      <c r="K15" s="21"/>
      <c r="L15" s="22"/>
      <c r="M15" s="212"/>
      <c r="N15" s="23"/>
      <c r="O15" s="19"/>
      <c r="P15" s="19"/>
      <c r="Q15" s="19"/>
      <c r="R15" s="33"/>
      <c r="T15" s="201">
        <f>SUMIF([2]VIC!$D$186:$D$217,$C15,[2]VIC!K$186:K$217)</f>
        <v>14416</v>
      </c>
      <c r="U15" s="198">
        <f>SUMIF([2]VIC!$D$186:$D$217,$C15,[2]VIC!L$186:L$217)</f>
        <v>76180</v>
      </c>
      <c r="V15" s="198">
        <f>SUMIF([2]VIC!$D$186:$D$217,$C15,[2]VIC!M$186:M$217)</f>
        <v>7548</v>
      </c>
      <c r="W15" s="199"/>
      <c r="X15" s="198"/>
      <c r="Y15" s="198"/>
      <c r="Z15" s="198"/>
      <c r="AA15" s="70"/>
      <c r="AB15" s="21"/>
      <c r="AC15" s="21"/>
      <c r="AD15" s="21"/>
      <c r="AE15" s="21"/>
      <c r="AF15" s="355"/>
      <c r="AG15" s="20">
        <f t="shared" si="1"/>
        <v>14416</v>
      </c>
      <c r="AH15" s="21">
        <f t="shared" si="1"/>
        <v>76180</v>
      </c>
      <c r="AI15" s="21">
        <f t="shared" si="1"/>
        <v>7548</v>
      </c>
      <c r="AJ15" s="21">
        <f>SUM(AG15:AI15)</f>
        <v>98144</v>
      </c>
      <c r="AK15" s="29">
        <f>AJ15/[2]Popn!$H$43*1000</f>
        <v>17.81263043524325</v>
      </c>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111"/>
      <c r="H16" s="110"/>
      <c r="I16" s="112">
        <f>D50*[2]VIC!D$22/(1-[2]VIC!$D$25)</f>
        <v>43813.632806422655</v>
      </c>
      <c r="J16" s="113">
        <f>$E$50*[2]VIC!E$31*[2]VIC!E$22/(1-[2]VIC!$E$25)</f>
        <v>35244.16657620253</v>
      </c>
      <c r="K16" s="113">
        <f>$E$50*[2]VIC!F$31*[2]VIC!F$22/(1-[2]VIC!$F$25)</f>
        <v>7137.2421923061438</v>
      </c>
      <c r="L16" s="114">
        <f>SUM(I16:K16)</f>
        <v>86195.041574931325</v>
      </c>
      <c r="M16" s="562"/>
      <c r="N16" s="112">
        <f t="shared" ref="N16:P20" si="4">I16-AU16</f>
        <v>43813.632806422655</v>
      </c>
      <c r="O16" s="113">
        <f t="shared" si="4"/>
        <v>35244.16657620253</v>
      </c>
      <c r="P16" s="113">
        <f t="shared" si="4"/>
        <v>7137.2421923061438</v>
      </c>
      <c r="Q16" s="113">
        <f>SUM(N16:P16)</f>
        <v>86195.041574931325</v>
      </c>
      <c r="R16" s="115">
        <f>Q16/[2]Popn!$H$43*1000</f>
        <v>15.643956033223418</v>
      </c>
      <c r="T16" s="201"/>
      <c r="U16" s="198"/>
      <c r="V16" s="198"/>
      <c r="W16" s="203"/>
      <c r="X16" s="130"/>
      <c r="Y16" s="130"/>
      <c r="Z16" s="130"/>
      <c r="AA16" s="117"/>
      <c r="AB16" s="113"/>
      <c r="AC16" s="113"/>
      <c r="AD16" s="113"/>
      <c r="AE16" s="113"/>
      <c r="AF16" s="567"/>
      <c r="AG16" s="112">
        <f>SUM(AG13:AG15)</f>
        <v>230885</v>
      </c>
      <c r="AH16" s="113">
        <f>SUM(AH13:AH15)</f>
        <v>1062866</v>
      </c>
      <c r="AI16" s="113">
        <f>SUM(AI13:AI15)</f>
        <v>90162</v>
      </c>
      <c r="AJ16" s="113">
        <f>SUM(AJ13:AJ15)</f>
        <v>1383913</v>
      </c>
      <c r="AK16" s="118">
        <f>SUM(AK13:AK15)</f>
        <v>251.17308061143618</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57"/>
      <c r="E17" s="2"/>
      <c r="F17" s="2"/>
      <c r="G17" s="63"/>
      <c r="H17" s="2"/>
      <c r="I17" s="20">
        <f>D50*[2]VIC!D$14/(1-[2]VIC!$D$25)</f>
        <v>927818.1064889502</v>
      </c>
      <c r="J17" s="21">
        <f>$E$50*[2]VIC!E$31*[2]VIC!E$14/(1-[2]VIC!$E$25)</f>
        <v>273943.29475139244</v>
      </c>
      <c r="K17" s="21">
        <f>$E$50*[2]VIC!F$31*[2]VIC!F$14/(1-[2]VIC!$F$25)</f>
        <v>0</v>
      </c>
      <c r="L17" s="22">
        <f>SUM(I17:K17)</f>
        <v>1201761.4012403428</v>
      </c>
      <c r="M17" s="212"/>
      <c r="N17" s="20">
        <f t="shared" si="4"/>
        <v>764089.33837988961</v>
      </c>
      <c r="O17" s="21">
        <f t="shared" si="4"/>
        <v>236621.07909769411</v>
      </c>
      <c r="P17" s="21">
        <f t="shared" si="4"/>
        <v>0</v>
      </c>
      <c r="Q17" s="21">
        <f>SUM(N17:P17)</f>
        <v>1000710.4174775837</v>
      </c>
      <c r="R17" s="34">
        <f>Q17/[2]Popn!$H$43*1000</f>
        <v>181.62378585778234</v>
      </c>
      <c r="T17" s="201">
        <f>SUMIF([2]VIC!$D$186:$D$217,$C17,[2]VIC!K$186:K$217)</f>
        <v>0</v>
      </c>
      <c r="U17" s="198">
        <f>SUMIF([2]VIC!$D$186:$D$217,$C17,[2]VIC!L$186:L$217)</f>
        <v>22368</v>
      </c>
      <c r="V17" s="198">
        <f>SUMIF([2]VIC!$D$186:$D$217,$C17,[2]VIC!M$186:M$217)</f>
        <v>0</v>
      </c>
      <c r="W17" s="199"/>
      <c r="X17" s="198"/>
      <c r="Y17" s="198"/>
      <c r="Z17" s="198"/>
      <c r="AA17" s="70"/>
      <c r="AB17" s="21"/>
      <c r="AC17" s="21"/>
      <c r="AD17" s="21"/>
      <c r="AE17" s="21"/>
      <c r="AF17" s="355"/>
      <c r="AG17" s="20">
        <f t="shared" ref="AG17:AI20" si="5">T17</f>
        <v>0</v>
      </c>
      <c r="AH17" s="21">
        <f t="shared" si="5"/>
        <v>22368</v>
      </c>
      <c r="AI17" s="21">
        <f t="shared" si="5"/>
        <v>0</v>
      </c>
      <c r="AJ17" s="21">
        <f>SUM(AG17:AI17)</f>
        <v>22368</v>
      </c>
      <c r="AK17" s="29">
        <f>AJ17/[2]Popn!$H$43*1000</f>
        <v>4.0596767767313438</v>
      </c>
      <c r="AL17" s="19"/>
      <c r="AM17" s="57"/>
      <c r="AN17" s="2"/>
      <c r="AO17" s="2"/>
      <c r="AP17" s="63"/>
      <c r="AQ17" s="70"/>
      <c r="AR17" s="21">
        <f>L17*'[2]Lfill en &amp; composn'!$D$16</f>
        <v>151421.93655628318</v>
      </c>
      <c r="AS17" s="35">
        <f>AR17/SUM($AR$7:$AR$49)</f>
        <v>0.41870152796925464</v>
      </c>
      <c r="AT17" s="21">
        <f>AS17*'[2]Lfill en &amp; composn'!$H$64/'[2]Lfill en &amp; composn'!$B$16</f>
        <v>212070.56901561251</v>
      </c>
      <c r="AU17" s="25">
        <f>AT17*I17/$L17</f>
        <v>163728.76810906062</v>
      </c>
      <c r="AV17" s="21">
        <f t="shared" ref="AV17:AW20" si="6">AU17*J17/$L17</f>
        <v>37322.215653698338</v>
      </c>
      <c r="AW17" s="22">
        <f t="shared" si="6"/>
        <v>0</v>
      </c>
      <c r="AX17" s="82"/>
      <c r="AY17" s="20">
        <f>AU17</f>
        <v>163728.76810906062</v>
      </c>
      <c r="AZ17" s="21">
        <f>AN17+AQ17+AV17</f>
        <v>37322.215653698338</v>
      </c>
      <c r="BA17" s="21">
        <f>AW17</f>
        <v>0</v>
      </c>
      <c r="BB17" s="21">
        <f>SUM(AY17:BA17)</f>
        <v>201050.98376275896</v>
      </c>
      <c r="BC17" s="29">
        <f>BB17/[2]Popn!$H$43*1000</f>
        <v>36.489717888084009</v>
      </c>
      <c r="BD17" s="30"/>
      <c r="BJ17" s="427" t="s">
        <v>138</v>
      </c>
      <c r="BK17" s="428" t="str">
        <f>IF(SUM(BH11:BJ11)=BK11,"OK","Problem")</f>
        <v>OK</v>
      </c>
    </row>
    <row r="18" spans="1:67">
      <c r="A18" s="699"/>
      <c r="B18" s="23"/>
      <c r="C18" s="17" t="s">
        <v>23</v>
      </c>
      <c r="D18" s="57"/>
      <c r="E18" s="2"/>
      <c r="F18" s="2"/>
      <c r="G18" s="63"/>
      <c r="H18" s="2"/>
      <c r="I18" s="20">
        <f>D50*[2]VIC!D$15/(1-[2]VIC!$D$25)</f>
        <v>190718.16633383979</v>
      </c>
      <c r="J18" s="21">
        <f>$E$50*[2]VIC!E$31*[2]VIC!E$15/(1-[2]VIC!$E$25)</f>
        <v>112140.53001518988</v>
      </c>
      <c r="K18" s="21">
        <f>$E$50*[2]VIC!F$31*[2]VIC!F$15/(1-[2]VIC!$F$25)</f>
        <v>27529.362741752266</v>
      </c>
      <c r="L18" s="22">
        <f>SUM(I18:K18)</f>
        <v>330388.05909078196</v>
      </c>
      <c r="M18" s="212"/>
      <c r="N18" s="20">
        <f t="shared" si="4"/>
        <v>171887.19227685194</v>
      </c>
      <c r="O18" s="21">
        <f t="shared" si="4"/>
        <v>105748.90854659236</v>
      </c>
      <c r="P18" s="21">
        <f t="shared" si="4"/>
        <v>26996.785183104348</v>
      </c>
      <c r="Q18" s="21">
        <f>SUM(N18:P18)</f>
        <v>304632.88600654865</v>
      </c>
      <c r="R18" s="34">
        <f>Q18/[2]Popn!$H$43*1000</f>
        <v>55.289299568554739</v>
      </c>
      <c r="T18" s="201">
        <f>SUMIF([2]VIC!$D$186:$D$217,$C18,[2]VIC!K$186:K$217)</f>
        <v>503672</v>
      </c>
      <c r="U18" s="198">
        <f>SUMIF([2]VIC!$D$186:$D$217,$C18,[2]VIC!L$186:L$217)</f>
        <v>66062</v>
      </c>
      <c r="V18" s="198">
        <f>SUMIF([2]VIC!$D$186:$D$217,$C18,[2]VIC!M$186:M$217)</f>
        <v>0</v>
      </c>
      <c r="W18" s="199"/>
      <c r="X18" s="198"/>
      <c r="Y18" s="198"/>
      <c r="Z18" s="198"/>
      <c r="AA18" s="70"/>
      <c r="AB18" s="21"/>
      <c r="AC18" s="21"/>
      <c r="AD18" s="21"/>
      <c r="AE18" s="21"/>
      <c r="AF18" s="355"/>
      <c r="AG18" s="20">
        <f t="shared" si="5"/>
        <v>503672</v>
      </c>
      <c r="AH18" s="21">
        <f t="shared" si="5"/>
        <v>66062</v>
      </c>
      <c r="AI18" s="21">
        <f t="shared" si="5"/>
        <v>0</v>
      </c>
      <c r="AJ18" s="21">
        <f>SUM(AG18:AI18)</f>
        <v>569734</v>
      </c>
      <c r="AK18" s="29">
        <f>AJ18/[2]Popn!$H$43*1000</f>
        <v>103.40378615496493</v>
      </c>
      <c r="AL18" s="19"/>
      <c r="AM18" s="57"/>
      <c r="AN18" s="2"/>
      <c r="AO18" s="2"/>
      <c r="AP18" s="63"/>
      <c r="AQ18" s="68"/>
      <c r="AR18" s="21">
        <f>L18*'[2]Lfill en &amp; composn'!$D$18</f>
        <v>31056.477554533503</v>
      </c>
      <c r="AS18" s="35">
        <f>AR18/SUM($AR$7:$AR$49)</f>
        <v>8.5875236449592676E-2</v>
      </c>
      <c r="AT18" s="21">
        <f>AS18*'[2]Lfill en &amp; composn'!$H$64/'[2]Lfill en &amp; composn'!$B$18</f>
        <v>32621.585500076082</v>
      </c>
      <c r="AU18" s="25">
        <f>AT18*I18/$L18</f>
        <v>18830.97405698786</v>
      </c>
      <c r="AV18" s="21">
        <f t="shared" si="6"/>
        <v>6391.6214685975228</v>
      </c>
      <c r="AW18" s="22">
        <f t="shared" si="6"/>
        <v>532.5775586479175</v>
      </c>
      <c r="AX18" s="2"/>
      <c r="AY18" s="20">
        <f>AU18</f>
        <v>18830.97405698786</v>
      </c>
      <c r="AZ18" s="21">
        <f>AN18+AQ18+AV18</f>
        <v>6391.6214685975228</v>
      </c>
      <c r="BA18" s="21">
        <f>AW18</f>
        <v>532.5775586479175</v>
      </c>
      <c r="BB18" s="21">
        <f>SUM(AY18:BA18)</f>
        <v>25755.173084233302</v>
      </c>
      <c r="BC18" s="29">
        <f>BB18/[2]Popn!$H$43*1000</f>
        <v>4.6744312433278843</v>
      </c>
      <c r="BD18" s="36"/>
    </row>
    <row r="19" spans="1:67">
      <c r="A19" s="699"/>
      <c r="B19" s="23"/>
      <c r="C19" s="17" t="s">
        <v>24</v>
      </c>
      <c r="D19" s="57"/>
      <c r="E19" s="2"/>
      <c r="F19" s="2"/>
      <c r="G19" s="63"/>
      <c r="H19" s="2"/>
      <c r="I19" s="20">
        <f>D50*[2]VIC!D$16/(1-[2]VIC!$D$25)</f>
        <v>7731.8175540745851</v>
      </c>
      <c r="J19" s="21">
        <f>$E$50*[2]VIC!E$31*[2]VIC!E$16/(1-[2]VIC!$E$25)</f>
        <v>208260.98431392407</v>
      </c>
      <c r="K19" s="21">
        <f>$E$50*[2]VIC!F$31*[2]VIC!F$16/(1-[2]VIC!$F$25)</f>
        <v>120313.51124173214</v>
      </c>
      <c r="L19" s="22">
        <f>SUM(I19:K19)</f>
        <v>336306.31310973078</v>
      </c>
      <c r="M19" s="212"/>
      <c r="N19" s="20">
        <f t="shared" si="4"/>
        <v>7358.2300871590696</v>
      </c>
      <c r="O19" s="21">
        <f t="shared" si="4"/>
        <v>208029.636609304</v>
      </c>
      <c r="P19" s="21">
        <f t="shared" si="4"/>
        <v>120230.74665012165</v>
      </c>
      <c r="Q19" s="21">
        <f>SUM(N19:P19)</f>
        <v>335618.61334658472</v>
      </c>
      <c r="R19" s="34">
        <f>Q19/[2]Popn!$H$43*1000</f>
        <v>60.913049465392803</v>
      </c>
      <c r="T19" s="201">
        <f>SUMIF([2]VIC!$D$186:$D$217,$C19,[2]VIC!K$186:K$217)</f>
        <v>16100</v>
      </c>
      <c r="U19" s="198">
        <f>SUMIF([2]VIC!$D$186:$D$217,$C19,[2]VIC!L$186:L$217)</f>
        <v>191522</v>
      </c>
      <c r="V19" s="198">
        <f>SUMIF([2]VIC!$D$186:$D$217,$C19,[2]VIC!M$186:M$217)</f>
        <v>25932</v>
      </c>
      <c r="W19" s="199"/>
      <c r="X19" s="198"/>
      <c r="Y19" s="198"/>
      <c r="Z19" s="198"/>
      <c r="AA19" s="70"/>
      <c r="AB19" s="21"/>
      <c r="AC19" s="21"/>
      <c r="AD19" s="21"/>
      <c r="AE19" s="21"/>
      <c r="AF19" s="355"/>
      <c r="AG19" s="20">
        <f t="shared" si="5"/>
        <v>16100</v>
      </c>
      <c r="AH19" s="21">
        <f t="shared" si="5"/>
        <v>191522</v>
      </c>
      <c r="AI19" s="21">
        <f t="shared" si="5"/>
        <v>25932</v>
      </c>
      <c r="AJ19" s="21">
        <f>SUM(AG19:AI19)</f>
        <v>233554</v>
      </c>
      <c r="AK19" s="29">
        <f>AJ19/[2]Popn!$H$43*1000</f>
        <v>42.388847903822978</v>
      </c>
      <c r="AL19" s="19"/>
      <c r="AM19" s="57"/>
      <c r="AN19" s="2"/>
      <c r="AO19" s="2"/>
      <c r="AP19" s="63"/>
      <c r="AQ19" s="70"/>
      <c r="AR19" s="21">
        <f>L19*'[2]Lfill en &amp; composn'!$D$19</f>
        <v>33260.694366552372</v>
      </c>
      <c r="AS19" s="35">
        <f>AR19/SUM($AR$7:$AR$49)</f>
        <v>9.1970185227537915E-2</v>
      </c>
      <c r="AT19" s="21">
        <f>AS19*'[2]Lfill en &amp; composn'!$H$64/'[2]Lfill en &amp; composn'!$B$19</f>
        <v>16249.713957121197</v>
      </c>
      <c r="AU19" s="25">
        <f>AT19*I19/$L19</f>
        <v>373.58746691551528</v>
      </c>
      <c r="AV19" s="21">
        <f t="shared" si="6"/>
        <v>231.34770462005804</v>
      </c>
      <c r="AW19" s="22">
        <f t="shared" si="6"/>
        <v>82.764591610483549</v>
      </c>
      <c r="AX19" s="2"/>
      <c r="AY19" s="20">
        <f>AU19</f>
        <v>373.58746691551528</v>
      </c>
      <c r="AZ19" s="21">
        <f>AN19+AQ19+AV19</f>
        <v>231.34770462005804</v>
      </c>
      <c r="BA19" s="21">
        <f>AW19</f>
        <v>82.764591610483549</v>
      </c>
      <c r="BB19" s="21">
        <f>SUM(AY19:BA19)</f>
        <v>687.69976314605685</v>
      </c>
      <c r="BC19" s="29">
        <f>BB19/[2]Popn!$H$43*1000</f>
        <v>0.12481396449426382</v>
      </c>
    </row>
    <row r="20" spans="1:67">
      <c r="A20" s="699"/>
      <c r="B20" s="23"/>
      <c r="C20" s="17" t="s">
        <v>25</v>
      </c>
      <c r="D20" s="57"/>
      <c r="E20" s="2"/>
      <c r="F20" s="2"/>
      <c r="G20" s="63"/>
      <c r="H20" s="2"/>
      <c r="I20" s="20">
        <f>D50*[2]VIC!D$18/(1-[2]VIC!$D$25)</f>
        <v>0</v>
      </c>
      <c r="J20" s="21">
        <f>$E$50*[2]VIC!E$31*[2]VIC!E$18/(1-[2]VIC!$E$25)</f>
        <v>6408.0302865822787</v>
      </c>
      <c r="K20" s="21">
        <f>$E$50*[2]VIC!F$31*[2]VIC!F$18/(1-[2]VIC!$F$25)</f>
        <v>0</v>
      </c>
      <c r="L20" s="22">
        <f>SUM(I20:K20)</f>
        <v>6408.0302865822787</v>
      </c>
      <c r="M20" s="212"/>
      <c r="N20" s="20">
        <f t="shared" si="4"/>
        <v>0</v>
      </c>
      <c r="O20" s="21">
        <f t="shared" si="4"/>
        <v>6408.0302865822787</v>
      </c>
      <c r="P20" s="21">
        <f t="shared" si="4"/>
        <v>0</v>
      </c>
      <c r="Q20" s="21">
        <f>SUM(N20:P20)</f>
        <v>6408.0302865822787</v>
      </c>
      <c r="R20" s="34">
        <f>Q20/[2]Popn!$H$43*1000</f>
        <v>1.1630244876175417</v>
      </c>
      <c r="T20" s="201">
        <f>SUMIF([2]VIC!$D$186:$D$217,$C20,[2]VIC!K$186:K$217)</f>
        <v>12878</v>
      </c>
      <c r="U20" s="198">
        <f>SUMIF([2]VIC!$D$186:$D$217,$C20,[2]VIC!L$186:L$217)</f>
        <v>87513</v>
      </c>
      <c r="V20" s="198">
        <f>SUMIF([2]VIC!$D$186:$D$217,$C20,[2]VIC!M$186:M$217)</f>
        <v>2763</v>
      </c>
      <c r="W20" s="199"/>
      <c r="X20" s="198"/>
      <c r="Y20" s="198"/>
      <c r="Z20" s="198"/>
      <c r="AA20" s="70"/>
      <c r="AB20" s="21"/>
      <c r="AC20" s="21"/>
      <c r="AD20" s="21"/>
      <c r="AE20" s="21"/>
      <c r="AF20" s="355"/>
      <c r="AG20" s="20">
        <f t="shared" si="5"/>
        <v>12878</v>
      </c>
      <c r="AH20" s="21">
        <f t="shared" si="5"/>
        <v>87513</v>
      </c>
      <c r="AI20" s="21">
        <f t="shared" si="5"/>
        <v>2763</v>
      </c>
      <c r="AJ20" s="21">
        <f>SUM(AG20:AI20)</f>
        <v>103154</v>
      </c>
      <c r="AK20" s="29">
        <f>AJ20/[2]Popn!$H$43*1000</f>
        <v>18.721919627456412</v>
      </c>
      <c r="AL20" s="19"/>
      <c r="AM20" s="57"/>
      <c r="AN20" s="2"/>
      <c r="AO20" s="2"/>
      <c r="AP20" s="63"/>
      <c r="AQ20" s="68"/>
      <c r="AR20" s="21">
        <f>L20*'[2]Lfill en &amp; composn'!$D$24</f>
        <v>768.96363438987339</v>
      </c>
      <c r="AS20" s="35">
        <f>AR20/SUM($AR$7:$AR$49)</f>
        <v>2.1262853718170297E-3</v>
      </c>
      <c r="AT20" s="21">
        <f>AS20*'[2]Lfill en &amp; composn'!$H$64/'[2]Lfill en &amp; composn'!$B$24</f>
        <v>673.09664308760603</v>
      </c>
      <c r="AU20" s="25">
        <f>AT20*I20/$L20</f>
        <v>0</v>
      </c>
      <c r="AV20" s="21">
        <f t="shared" si="6"/>
        <v>0</v>
      </c>
      <c r="AW20" s="22">
        <f t="shared" si="6"/>
        <v>0</v>
      </c>
      <c r="AX20" s="83"/>
      <c r="AY20" s="20">
        <f>AU20</f>
        <v>0</v>
      </c>
      <c r="AZ20" s="21">
        <f>AN20+AQ20+AV20</f>
        <v>0</v>
      </c>
      <c r="BA20" s="21">
        <f>AW20</f>
        <v>0</v>
      </c>
      <c r="BB20" s="21">
        <f>SUM(AY20:BA20)</f>
        <v>0</v>
      </c>
      <c r="BC20" s="29">
        <f>BB20/[2]Popn!$H$43*1000</f>
        <v>0</v>
      </c>
    </row>
    <row r="21" spans="1:67">
      <c r="A21" s="699"/>
      <c r="B21" s="23"/>
      <c r="C21" s="17" t="s">
        <v>0</v>
      </c>
      <c r="D21" s="57"/>
      <c r="E21" s="2"/>
      <c r="F21" s="2"/>
      <c r="G21" s="63"/>
      <c r="H21" s="198">
        <f>[2]Biosolids!$H$192</f>
        <v>0</v>
      </c>
      <c r="I21" s="20"/>
      <c r="J21" s="21"/>
      <c r="K21" s="21"/>
      <c r="L21" s="22"/>
      <c r="M21" s="212"/>
      <c r="N21" s="23"/>
      <c r="O21" s="19"/>
      <c r="P21" s="19"/>
      <c r="Q21" s="19"/>
      <c r="R21" s="34"/>
      <c r="T21" s="201"/>
      <c r="U21" s="198"/>
      <c r="V21" s="198"/>
      <c r="W21" s="199"/>
      <c r="X21" s="198"/>
      <c r="Y21" s="198"/>
      <c r="Z21" s="198"/>
      <c r="AA21" s="70">
        <f>[2]Biosolids!$H$191</f>
        <v>109014</v>
      </c>
      <c r="AB21" s="21"/>
      <c r="AC21" s="21"/>
      <c r="AD21" s="21"/>
      <c r="AE21" s="21"/>
      <c r="AF21" s="355" t="s">
        <v>196</v>
      </c>
      <c r="AG21" s="20">
        <f>AA21</f>
        <v>109014</v>
      </c>
      <c r="AH21" s="21"/>
      <c r="AI21" s="21"/>
      <c r="AJ21" s="21">
        <f>SUM(AG21:AI21)</f>
        <v>109014</v>
      </c>
      <c r="AK21" s="29">
        <f>AJ21/[2]Popn!$H$43*1000</f>
        <v>19.785479441102947</v>
      </c>
      <c r="AL21" s="19"/>
      <c r="AM21" s="57"/>
      <c r="AN21" s="2"/>
      <c r="AO21" s="2"/>
      <c r="AP21" s="63"/>
      <c r="AQ21" s="68"/>
      <c r="AR21" s="21"/>
      <c r="AS21" s="35"/>
      <c r="AT21" s="21"/>
      <c r="AU21" s="25"/>
      <c r="AV21" s="21"/>
      <c r="AW21" s="22"/>
      <c r="AX21" s="2"/>
      <c r="AY21" s="23"/>
      <c r="AZ21" s="19"/>
      <c r="BA21" s="19"/>
      <c r="BB21" s="19"/>
      <c r="BC21" s="24"/>
    </row>
    <row r="22" spans="1:67" s="106" customFormat="1" ht="25.5">
      <c r="A22" s="699"/>
      <c r="B22" s="107" t="s">
        <v>67</v>
      </c>
      <c r="C22" s="108"/>
      <c r="D22" s="109"/>
      <c r="E22" s="110"/>
      <c r="F22" s="110"/>
      <c r="G22" s="111"/>
      <c r="H22" s="110"/>
      <c r="I22" s="112">
        <f>SUM(I17:I21)</f>
        <v>1126268.0903768647</v>
      </c>
      <c r="J22" s="113">
        <f>SUM(J17:J21)</f>
        <v>600752.83936708875</v>
      </c>
      <c r="K22" s="113">
        <f>SUM(K17:K21)</f>
        <v>147842.8739834844</v>
      </c>
      <c r="L22" s="114">
        <f>SUM(L17:L21)</f>
        <v>1874863.8037274377</v>
      </c>
      <c r="M22" s="562"/>
      <c r="N22" s="112">
        <f>SUM(N17:N21)</f>
        <v>943334.76074390067</v>
      </c>
      <c r="O22" s="113">
        <f>SUM(O17:O21)</f>
        <v>556807.65454017278</v>
      </c>
      <c r="P22" s="113">
        <f>SUM(P17:P21)</f>
        <v>147227.53183322601</v>
      </c>
      <c r="Q22" s="114">
        <f>SUM(Q17:Q21)</f>
        <v>1647369.9471172993</v>
      </c>
      <c r="R22" s="115">
        <f>SUM(R17:R21)</f>
        <v>298.98915937934743</v>
      </c>
      <c r="T22" s="201"/>
      <c r="U22" s="198"/>
      <c r="V22" s="198"/>
      <c r="W22" s="203"/>
      <c r="X22" s="130"/>
      <c r="Y22" s="130"/>
      <c r="Z22" s="130"/>
      <c r="AA22" s="117"/>
      <c r="AB22" s="113"/>
      <c r="AC22" s="113"/>
      <c r="AD22" s="113"/>
      <c r="AE22" s="113"/>
      <c r="AF22" s="567"/>
      <c r="AG22" s="112">
        <f>SUM(AG17:AG21)</f>
        <v>641664</v>
      </c>
      <c r="AH22" s="113">
        <f>SUM(AH17:AH21)</f>
        <v>367465</v>
      </c>
      <c r="AI22" s="113">
        <f>SUM(AI17:AI21)</f>
        <v>28695</v>
      </c>
      <c r="AJ22" s="113">
        <f>SUM(AJ17:AJ21)</f>
        <v>1037824</v>
      </c>
      <c r="AK22" s="118">
        <f>SUM(AK17:AK21)</f>
        <v>188.35970990407861</v>
      </c>
      <c r="AL22" s="119"/>
      <c r="AM22" s="109"/>
      <c r="AN22" s="110"/>
      <c r="AO22" s="110"/>
      <c r="AP22" s="111"/>
      <c r="AQ22" s="116"/>
      <c r="AR22" s="113"/>
      <c r="AS22" s="113"/>
      <c r="AT22" s="113"/>
      <c r="AU22" s="120"/>
      <c r="AV22" s="113"/>
      <c r="AW22" s="114"/>
      <c r="AX22" s="110"/>
      <c r="AY22" s="112">
        <f>SUM(AY17:AY21)</f>
        <v>182933.32963296399</v>
      </c>
      <c r="AZ22" s="113">
        <f>SUM(AZ17:AZ21)</f>
        <v>43945.184826915916</v>
      </c>
      <c r="BA22" s="113">
        <f>SUM(BA17:BA21)</f>
        <v>615.34215025840103</v>
      </c>
      <c r="BB22" s="114">
        <f>SUM(BB17:BB21)</f>
        <v>227493.85661013832</v>
      </c>
      <c r="BC22" s="118">
        <f>SUM(BC17:BC21)</f>
        <v>41.288963095906155</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20"/>
      <c r="J23" s="21"/>
      <c r="K23" s="21"/>
      <c r="L23" s="22"/>
      <c r="M23" s="212"/>
      <c r="N23" s="23"/>
      <c r="O23" s="19"/>
      <c r="P23" s="19"/>
      <c r="Q23" s="19"/>
      <c r="R23" s="33"/>
      <c r="T23" s="201">
        <f>SUMIF([2]VIC!$D$186:$D$217,$C23,[2]VIC!K$186:K$217)</f>
        <v>91400</v>
      </c>
      <c r="U23" s="198">
        <f>SUMIF([2]VIC!$D$186:$D$217,$C23,[2]VIC!L$186:L$217)</f>
        <v>321457</v>
      </c>
      <c r="V23" s="198">
        <f>SUMIF([2]VIC!$D$186:$D$217,$C23,[2]VIC!M$186:M$217)</f>
        <v>0</v>
      </c>
      <c r="W23" s="199"/>
      <c r="X23" s="198"/>
      <c r="Y23" s="198"/>
      <c r="Z23" s="198"/>
      <c r="AA23" s="70"/>
      <c r="AB23" s="21"/>
      <c r="AC23" s="21"/>
      <c r="AD23" s="21"/>
      <c r="AE23" s="21"/>
      <c r="AF23" s="355"/>
      <c r="AG23" s="20">
        <f t="shared" ref="AG23:AI26" si="7">T23</f>
        <v>91400</v>
      </c>
      <c r="AH23" s="21">
        <f t="shared" si="7"/>
        <v>321457</v>
      </c>
      <c r="AI23" s="21">
        <f t="shared" si="7"/>
        <v>0</v>
      </c>
      <c r="AJ23" s="21">
        <f>SUM(AG23:AI23)</f>
        <v>412857</v>
      </c>
      <c r="AK23" s="29">
        <f>AJ23/[2]Popn!$H$43*1000</f>
        <v>74.931418768373234</v>
      </c>
      <c r="AL23" s="19"/>
      <c r="AM23" s="57"/>
      <c r="AN23" s="2"/>
      <c r="AO23" s="2"/>
      <c r="AP23" s="63"/>
      <c r="AQ23" s="68"/>
      <c r="AR23" s="21"/>
      <c r="AS23" s="21"/>
      <c r="AT23" s="21"/>
      <c r="AU23" s="25"/>
      <c r="AV23" s="21"/>
      <c r="AW23" s="22"/>
      <c r="AX23" s="2"/>
      <c r="AY23" s="23"/>
      <c r="AZ23" s="19"/>
      <c r="BA23" s="19"/>
      <c r="BB23" s="19"/>
      <c r="BC23" s="24"/>
      <c r="BG23" s="147" t="s">
        <v>3</v>
      </c>
      <c r="BH23" s="52">
        <f>Q12/1000</f>
        <v>1035.0222430230542</v>
      </c>
      <c r="BI23" s="52">
        <f>AJ12/1000</f>
        <v>3213.0509999999999</v>
      </c>
      <c r="BJ23" s="52">
        <f>BB12/1000</f>
        <v>0</v>
      </c>
      <c r="BK23" s="137">
        <f>SUM(BI23:BJ23)/BL23</f>
        <v>0.75635489695876756</v>
      </c>
      <c r="BL23" s="52">
        <f>SUM(BH23:BJ23)</f>
        <v>4248.0732430230546</v>
      </c>
    </row>
    <row r="24" spans="1:67">
      <c r="A24" s="699"/>
      <c r="B24" s="23"/>
      <c r="C24" s="17" t="s">
        <v>27</v>
      </c>
      <c r="D24" s="57"/>
      <c r="E24" s="2"/>
      <c r="F24" s="2"/>
      <c r="G24" s="63"/>
      <c r="H24" s="2"/>
      <c r="I24" s="20"/>
      <c r="J24" s="21"/>
      <c r="K24" s="21"/>
      <c r="L24" s="22"/>
      <c r="M24" s="212"/>
      <c r="N24" s="23"/>
      <c r="O24" s="19"/>
      <c r="P24" s="19"/>
      <c r="Q24" s="19"/>
      <c r="R24" s="33"/>
      <c r="T24" s="201">
        <f>SUMIF([2]VIC!$D$186:$D$217,$C24,[2]VIC!K$186:K$217)</f>
        <v>0</v>
      </c>
      <c r="U24" s="198">
        <f>SUMIF([2]VIC!$D$186:$D$217,$C24,[2]VIC!L$186:L$217)</f>
        <v>0</v>
      </c>
      <c r="V24" s="198">
        <f>SUMIF([2]VIC!$D$186:$D$217,$C24,[2]VIC!M$186:M$217)</f>
        <v>0</v>
      </c>
      <c r="W24" s="199"/>
      <c r="X24" s="198"/>
      <c r="Y24" s="198"/>
      <c r="Z24" s="198"/>
      <c r="AA24" s="70"/>
      <c r="AB24" s="21"/>
      <c r="AC24" s="21"/>
      <c r="AD24" s="21"/>
      <c r="AE24" s="21"/>
      <c r="AF24" s="355"/>
      <c r="AG24" s="20">
        <f t="shared" si="7"/>
        <v>0</v>
      </c>
      <c r="AH24" s="21">
        <f t="shared" si="7"/>
        <v>0</v>
      </c>
      <c r="AI24" s="21">
        <f t="shared" si="7"/>
        <v>0</v>
      </c>
      <c r="AJ24" s="21">
        <f>SUM(AG24:AI24)</f>
        <v>0</v>
      </c>
      <c r="AK24" s="29">
        <f>AJ24/[2]Popn!$H$43*1000</f>
        <v>0</v>
      </c>
      <c r="AL24" s="19"/>
      <c r="AM24" s="57"/>
      <c r="AN24" s="2"/>
      <c r="AO24" s="2"/>
      <c r="AP24" s="63"/>
      <c r="AQ24" s="68"/>
      <c r="AR24" s="21"/>
      <c r="AS24" s="21"/>
      <c r="AT24" s="21"/>
      <c r="AU24" s="25"/>
      <c r="AV24" s="21"/>
      <c r="AW24" s="22"/>
      <c r="AX24" s="2"/>
      <c r="AY24" s="23"/>
      <c r="AZ24" s="19"/>
      <c r="BA24" s="19"/>
      <c r="BB24" s="19"/>
      <c r="BC24" s="24"/>
      <c r="BG24" s="147" t="s">
        <v>4</v>
      </c>
      <c r="BH24" s="52">
        <f>Q16/1000</f>
        <v>86.195041574931324</v>
      </c>
      <c r="BI24" s="52">
        <f>AJ16/1000</f>
        <v>1383.913</v>
      </c>
      <c r="BJ24" s="52">
        <f>BB16/1000</f>
        <v>0</v>
      </c>
      <c r="BK24" s="137">
        <f t="shared" ref="BK24:BK31" si="8">SUM(BI24:BJ24)/BL24</f>
        <v>0.94136822659469954</v>
      </c>
      <c r="BL24" s="52">
        <f t="shared" ref="BL24:BL31" si="9">SUM(BH24:BJ24)</f>
        <v>1470.1080415749313</v>
      </c>
    </row>
    <row r="25" spans="1:67">
      <c r="A25" s="699"/>
      <c r="B25" s="23"/>
      <c r="C25" s="17" t="s">
        <v>28</v>
      </c>
      <c r="D25" s="57"/>
      <c r="E25" s="2"/>
      <c r="F25" s="2"/>
      <c r="G25" s="63"/>
      <c r="H25" s="2"/>
      <c r="I25" s="20"/>
      <c r="J25" s="21"/>
      <c r="K25" s="21"/>
      <c r="L25" s="22"/>
      <c r="M25" s="212"/>
      <c r="N25" s="23"/>
      <c r="O25" s="19"/>
      <c r="P25" s="19"/>
      <c r="Q25" s="19"/>
      <c r="R25" s="33"/>
      <c r="T25" s="201">
        <f>SUMIF([2]VIC!$D$186:$D$217,$C25,[2]VIC!K$186:K$217)</f>
        <v>96133</v>
      </c>
      <c r="U25" s="198">
        <f>SUMIF([2]VIC!$D$186:$D$217,$C25,[2]VIC!L$186:L$217)</f>
        <v>242631</v>
      </c>
      <c r="V25" s="198">
        <f>SUMIF([2]VIC!$D$186:$D$217,$C25,[2]VIC!M$186:M$217)</f>
        <v>0</v>
      </c>
      <c r="W25" s="199"/>
      <c r="X25" s="198"/>
      <c r="Y25" s="198"/>
      <c r="Z25" s="198"/>
      <c r="AA25" s="70"/>
      <c r="AB25" s="21"/>
      <c r="AC25" s="21"/>
      <c r="AD25" s="21"/>
      <c r="AE25" s="21"/>
      <c r="AF25" s="355"/>
      <c r="AG25" s="20">
        <f t="shared" si="7"/>
        <v>96133</v>
      </c>
      <c r="AH25" s="21">
        <f t="shared" si="7"/>
        <v>242631</v>
      </c>
      <c r="AI25" s="21">
        <f t="shared" si="7"/>
        <v>0</v>
      </c>
      <c r="AJ25" s="21">
        <f>SUM(AG25:AI25)</f>
        <v>338764</v>
      </c>
      <c r="AK25" s="29">
        <f>AJ25/[2]Popn!$H$43*1000</f>
        <v>61.483920940299406</v>
      </c>
      <c r="AL25" s="19"/>
      <c r="AM25" s="57"/>
      <c r="AN25" s="2"/>
      <c r="AO25" s="2"/>
      <c r="AP25" s="63"/>
      <c r="AQ25" s="68"/>
      <c r="AR25" s="21"/>
      <c r="AS25" s="21"/>
      <c r="AT25" s="21"/>
      <c r="AU25" s="25"/>
      <c r="AV25" s="21"/>
      <c r="AW25" s="22"/>
      <c r="AX25" s="2"/>
      <c r="AY25" s="23"/>
      <c r="AZ25" s="19"/>
      <c r="BA25" s="19"/>
      <c r="BB25" s="19"/>
      <c r="BC25" s="24"/>
      <c r="BG25" s="147" t="s">
        <v>2</v>
      </c>
      <c r="BH25" s="52">
        <f>Q22/1000</f>
        <v>1647.3699471172993</v>
      </c>
      <c r="BI25" s="52">
        <f>AJ22/1000</f>
        <v>1037.8240000000001</v>
      </c>
      <c r="BJ25" s="52">
        <f>BB22/1000</f>
        <v>227.49385661013832</v>
      </c>
      <c r="BK25" s="137">
        <f t="shared" si="8"/>
        <v>0.43441588727459229</v>
      </c>
      <c r="BL25" s="52">
        <f t="shared" si="9"/>
        <v>2912.6878037274373</v>
      </c>
    </row>
    <row r="26" spans="1:67">
      <c r="A26" s="699"/>
      <c r="B26" s="23"/>
      <c r="C26" s="17" t="s">
        <v>29</v>
      </c>
      <c r="D26" s="57"/>
      <c r="E26" s="2"/>
      <c r="F26" s="2"/>
      <c r="G26" s="63"/>
      <c r="H26" s="2"/>
      <c r="I26" s="20"/>
      <c r="J26" s="21"/>
      <c r="K26" s="21"/>
      <c r="L26" s="22"/>
      <c r="M26" s="212"/>
      <c r="N26" s="23"/>
      <c r="O26" s="19"/>
      <c r="P26" s="19"/>
      <c r="Q26" s="19"/>
      <c r="R26" s="33"/>
      <c r="T26" s="201">
        <f>SUMIF([2]VIC!$D$186:$D$217,$C26,[2]VIC!K$186:K$217)</f>
        <v>63846</v>
      </c>
      <c r="U26" s="198">
        <f>SUMIF([2]VIC!$D$186:$D$217,$C26,[2]VIC!L$186:L$217)</f>
        <v>195972</v>
      </c>
      <c r="V26" s="198">
        <f>SUMIF([2]VIC!$D$186:$D$217,$C26,[2]VIC!M$186:M$217)</f>
        <v>0</v>
      </c>
      <c r="W26" s="199"/>
      <c r="X26" s="198"/>
      <c r="Y26" s="198"/>
      <c r="Z26" s="198"/>
      <c r="AA26" s="70"/>
      <c r="AB26" s="21"/>
      <c r="AC26" s="21"/>
      <c r="AD26" s="21"/>
      <c r="AE26" s="21"/>
      <c r="AF26" s="355"/>
      <c r="AG26" s="20">
        <f t="shared" si="7"/>
        <v>63846</v>
      </c>
      <c r="AH26" s="21">
        <f t="shared" si="7"/>
        <v>195972</v>
      </c>
      <c r="AI26" s="21">
        <f t="shared" si="7"/>
        <v>0</v>
      </c>
      <c r="AJ26" s="21">
        <f>SUM(AG26:AI26)</f>
        <v>259818</v>
      </c>
      <c r="AK26" s="29">
        <f>AJ26/[2]Popn!$H$43*1000</f>
        <v>47.155628611265399</v>
      </c>
      <c r="AL26" s="19"/>
      <c r="AM26" s="57"/>
      <c r="AN26" s="2"/>
      <c r="AO26" s="2"/>
      <c r="AP26" s="63"/>
      <c r="AQ26" s="68"/>
      <c r="AR26" s="21"/>
      <c r="AS26" s="21"/>
      <c r="AT26" s="21"/>
      <c r="AU26" s="25"/>
      <c r="AV26" s="21"/>
      <c r="AW26" s="22"/>
      <c r="AX26" s="2"/>
      <c r="AY26" s="23"/>
      <c r="AZ26" s="19"/>
      <c r="BA26" s="19"/>
      <c r="BB26" s="19"/>
      <c r="BC26" s="24"/>
      <c r="BG26" s="147" t="s">
        <v>5</v>
      </c>
      <c r="BH26" s="52">
        <f>Q27/1000</f>
        <v>529.49665324475461</v>
      </c>
      <c r="BI26" s="52">
        <f>AJ27/1000</f>
        <v>1011.439</v>
      </c>
      <c r="BJ26" s="52">
        <f>BB27/1000</f>
        <v>60.760322909100843</v>
      </c>
      <c r="BK26" s="137">
        <f t="shared" si="8"/>
        <v>0.66941500688774147</v>
      </c>
      <c r="BL26" s="52">
        <f t="shared" si="9"/>
        <v>1601.6959761538553</v>
      </c>
    </row>
    <row r="27" spans="1:67" s="106" customFormat="1">
      <c r="A27" s="699"/>
      <c r="B27" s="107" t="s">
        <v>67</v>
      </c>
      <c r="C27" s="108"/>
      <c r="D27" s="109"/>
      <c r="E27" s="110"/>
      <c r="F27" s="110"/>
      <c r="G27" s="111"/>
      <c r="H27" s="110"/>
      <c r="I27" s="112">
        <f>D50*[2]VIC!D$13/(1-[2]VIC!$D$25)</f>
        <v>280922.70446470991</v>
      </c>
      <c r="J27" s="113">
        <f>$E$50*[2]VIC!E$31*[2]VIC!E$13/(1-[2]VIC!$E$25)</f>
        <v>301177.42346936709</v>
      </c>
      <c r="K27" s="113">
        <f>$E$50*[2]VIC!F$31*[2]VIC!F$13/(1-[2]VIC!$F$25)</f>
        <v>8156.8482197784506</v>
      </c>
      <c r="L27" s="114">
        <f>SUM(I27:K27)</f>
        <v>590256.97615385556</v>
      </c>
      <c r="M27" s="562"/>
      <c r="N27" s="112">
        <f>I27-AU27</f>
        <v>252004.86880100315</v>
      </c>
      <c r="O27" s="113">
        <f>J27-AV27</f>
        <v>270174.59208875196</v>
      </c>
      <c r="P27" s="113">
        <f>K27-AW27</f>
        <v>7317.192354999519</v>
      </c>
      <c r="Q27" s="113">
        <f>SUM(N27:P27)</f>
        <v>529496.65324475465</v>
      </c>
      <c r="R27" s="115">
        <f>Q27/[2]Popn!$H$43*1000</f>
        <v>96.100914991715825</v>
      </c>
      <c r="T27" s="201"/>
      <c r="U27" s="198"/>
      <c r="V27" s="198"/>
      <c r="W27" s="203"/>
      <c r="X27" s="130"/>
      <c r="Y27" s="130"/>
      <c r="Z27" s="130"/>
      <c r="AA27" s="117"/>
      <c r="AB27" s="113"/>
      <c r="AC27" s="113"/>
      <c r="AD27" s="113"/>
      <c r="AE27" s="113"/>
      <c r="AF27" s="567"/>
      <c r="AG27" s="112">
        <f>SUM(AG23:AG26)</f>
        <v>251379</v>
      </c>
      <c r="AH27" s="113">
        <f>SUM(AH23:AH26)</f>
        <v>760060</v>
      </c>
      <c r="AI27" s="113">
        <f>SUM(AI23:AI26)</f>
        <v>0</v>
      </c>
      <c r="AJ27" s="113">
        <f>SUM(AJ23:AJ26)</f>
        <v>1011439</v>
      </c>
      <c r="AK27" s="118">
        <f>SUM(AK23:AK26)</f>
        <v>183.57096831993803</v>
      </c>
      <c r="AL27" s="119"/>
      <c r="AM27" s="109"/>
      <c r="AN27" s="110"/>
      <c r="AO27" s="110"/>
      <c r="AP27" s="111"/>
      <c r="AQ27" s="117"/>
      <c r="AR27" s="113">
        <f>L27*'[2]Lfill en &amp; composn'!$D$17</f>
        <v>115690.3673261557</v>
      </c>
      <c r="AS27" s="123">
        <f>AR27/SUM($AR$7:$AR$49)</f>
        <v>0.31989904945364894</v>
      </c>
      <c r="AT27" s="113">
        <f>AS27*'[2]Lfill en &amp; composn'!$H$64/'[2]Lfill en &amp; composn'!$B$17</f>
        <v>60760.322909100847</v>
      </c>
      <c r="AU27" s="25">
        <f>$AT27*I27/$L27</f>
        <v>28917.835663706766</v>
      </c>
      <c r="AV27" s="21">
        <f t="shared" ref="AV27:AW27" si="10">$AT27*J27/$L27</f>
        <v>31002.831380615135</v>
      </c>
      <c r="AW27" s="22">
        <f t="shared" si="10"/>
        <v>839.65586477893203</v>
      </c>
      <c r="AX27" s="110"/>
      <c r="AY27" s="112">
        <f>AU27</f>
        <v>28917.835663706766</v>
      </c>
      <c r="AZ27" s="113">
        <f>AN27+AQ27+AV27</f>
        <v>31002.831380615135</v>
      </c>
      <c r="BA27" s="113">
        <f>AW27</f>
        <v>839.65586477893203</v>
      </c>
      <c r="BB27" s="113">
        <f>SUM(AY27:BA27)</f>
        <v>60760.32290910084</v>
      </c>
      <c r="BC27" s="118">
        <f>BB27/[2]Popn!$H$43*1000</f>
        <v>11.027685616093263</v>
      </c>
      <c r="BD27" s="122"/>
      <c r="BG27" s="147" t="s">
        <v>6</v>
      </c>
      <c r="BH27" s="52">
        <f>Q37/1000</f>
        <v>518.58408530486815</v>
      </c>
      <c r="BI27" s="52">
        <f>AJ37/1000</f>
        <v>146.20400000000001</v>
      </c>
      <c r="BJ27" s="52">
        <f>BB37/1000</f>
        <v>0</v>
      </c>
      <c r="BK27" s="137">
        <f t="shared" si="8"/>
        <v>0.21992572254502973</v>
      </c>
      <c r="BL27" s="52">
        <f t="shared" si="9"/>
        <v>664.78808530486822</v>
      </c>
      <c r="BM27" s="6"/>
      <c r="BN27" s="6"/>
      <c r="BO27" s="6"/>
    </row>
    <row r="28" spans="1:67">
      <c r="A28" s="699"/>
      <c r="B28" s="23" t="s">
        <v>6</v>
      </c>
      <c r="C28" s="17" t="s">
        <v>30</v>
      </c>
      <c r="D28" s="57"/>
      <c r="E28" s="2"/>
      <c r="F28" s="2"/>
      <c r="G28" s="63"/>
      <c r="H28" s="2"/>
      <c r="I28" s="20"/>
      <c r="J28" s="21"/>
      <c r="K28" s="21"/>
      <c r="L28" s="22"/>
      <c r="M28" s="212"/>
      <c r="N28" s="23"/>
      <c r="O28" s="19"/>
      <c r="P28" s="19"/>
      <c r="Q28" s="19"/>
      <c r="R28" s="33"/>
      <c r="T28" s="201"/>
      <c r="U28" s="198"/>
      <c r="V28" s="198"/>
      <c r="W28" s="199"/>
      <c r="X28" s="198"/>
      <c r="Y28" s="198"/>
      <c r="Z28" s="198"/>
      <c r="AA28" s="70"/>
      <c r="AB28" s="21"/>
      <c r="AC28" s="21"/>
      <c r="AD28" s="21"/>
      <c r="AE28" s="21"/>
      <c r="AF28" s="355"/>
      <c r="AG28" s="20"/>
      <c r="AH28" s="21"/>
      <c r="AI28" s="21"/>
      <c r="AJ28" s="21"/>
      <c r="AK28" s="29"/>
      <c r="AL28" s="19"/>
      <c r="AM28" s="57"/>
      <c r="AN28" s="2"/>
      <c r="AO28" s="2"/>
      <c r="AP28" s="63"/>
      <c r="AQ28" s="68"/>
      <c r="AR28" s="21"/>
      <c r="AS28" s="21"/>
      <c r="AT28" s="21"/>
      <c r="AU28" s="25"/>
      <c r="AV28" s="21"/>
      <c r="AW28" s="22"/>
      <c r="AX28" s="2"/>
      <c r="AY28" s="23"/>
      <c r="AZ28" s="19"/>
      <c r="BA28" s="19"/>
      <c r="BB28" s="19"/>
      <c r="BC28" s="24"/>
      <c r="BG28" s="147" t="s">
        <v>8</v>
      </c>
      <c r="BH28" s="52">
        <f>Q38/1000</f>
        <v>105.22338796507985</v>
      </c>
      <c r="BI28" s="52">
        <f>AJ38/1000</f>
        <v>116.86499999999999</v>
      </c>
      <c r="BJ28" s="52">
        <f>BB38/1000</f>
        <v>0</v>
      </c>
      <c r="BK28" s="137">
        <f t="shared" si="8"/>
        <v>0.52620941180578662</v>
      </c>
      <c r="BL28" s="52">
        <f t="shared" si="9"/>
        <v>222.08838796507985</v>
      </c>
    </row>
    <row r="29" spans="1:67">
      <c r="A29" s="699"/>
      <c r="B29" s="23"/>
      <c r="C29" s="17" t="s">
        <v>31</v>
      </c>
      <c r="D29" s="57"/>
      <c r="E29" s="2"/>
      <c r="F29" s="2"/>
      <c r="G29" s="63"/>
      <c r="H29" s="2"/>
      <c r="I29" s="20"/>
      <c r="J29" s="21"/>
      <c r="K29" s="21"/>
      <c r="L29" s="22"/>
      <c r="M29" s="212"/>
      <c r="N29" s="23"/>
      <c r="O29" s="19"/>
      <c r="P29" s="19"/>
      <c r="Q29" s="19"/>
      <c r="R29" s="33"/>
      <c r="T29" s="201"/>
      <c r="U29" s="198"/>
      <c r="V29" s="198"/>
      <c r="W29" s="199"/>
      <c r="X29" s="198"/>
      <c r="Y29" s="198"/>
      <c r="Z29" s="198"/>
      <c r="AA29" s="70"/>
      <c r="AB29" s="21"/>
      <c r="AC29" s="21"/>
      <c r="AD29" s="21"/>
      <c r="AE29" s="21"/>
      <c r="AF29" s="355"/>
      <c r="AG29" s="20"/>
      <c r="AH29" s="21"/>
      <c r="AI29" s="21"/>
      <c r="AJ29" s="21"/>
      <c r="AK29" s="29"/>
      <c r="AL29" s="19"/>
      <c r="AM29" s="57"/>
      <c r="AN29" s="2"/>
      <c r="AO29" s="2"/>
      <c r="AP29" s="63"/>
      <c r="AQ29" s="68"/>
      <c r="AR29" s="21"/>
      <c r="AS29" s="21"/>
      <c r="AT29" s="21"/>
      <c r="AU29" s="25"/>
      <c r="AV29" s="21"/>
      <c r="AW29" s="22"/>
      <c r="AX29" s="2"/>
      <c r="AY29" s="23"/>
      <c r="AZ29" s="19"/>
      <c r="BA29" s="19"/>
      <c r="BB29" s="19"/>
      <c r="BC29" s="24"/>
      <c r="BG29" s="147" t="s">
        <v>7</v>
      </c>
      <c r="BH29" s="52">
        <f>Q41/1000</f>
        <v>175.30302778141942</v>
      </c>
      <c r="BI29" s="52">
        <f>AJ41/1000</f>
        <v>259.35399999999998</v>
      </c>
      <c r="BJ29" s="52">
        <f>BB41/1000</f>
        <v>13.027700719353858</v>
      </c>
      <c r="BK29" s="137">
        <f t="shared" si="8"/>
        <v>0.60842303384240493</v>
      </c>
      <c r="BL29" s="52">
        <f t="shared" si="9"/>
        <v>447.68472850077325</v>
      </c>
    </row>
    <row r="30" spans="1:67">
      <c r="A30" s="699"/>
      <c r="B30" s="23"/>
      <c r="C30" s="17" t="s">
        <v>32</v>
      </c>
      <c r="D30" s="57"/>
      <c r="E30" s="2"/>
      <c r="F30" s="2"/>
      <c r="G30" s="63"/>
      <c r="H30" s="2"/>
      <c r="I30" s="20"/>
      <c r="J30" s="21"/>
      <c r="K30" s="21"/>
      <c r="L30" s="22"/>
      <c r="M30" s="212"/>
      <c r="N30" s="23"/>
      <c r="O30" s="19"/>
      <c r="P30" s="19"/>
      <c r="Q30" s="19"/>
      <c r="R30" s="33"/>
      <c r="T30" s="201"/>
      <c r="U30" s="198"/>
      <c r="V30" s="198"/>
      <c r="W30" s="199"/>
      <c r="X30" s="198"/>
      <c r="Y30" s="198"/>
      <c r="Z30" s="198"/>
      <c r="AA30" s="70"/>
      <c r="AB30" s="21"/>
      <c r="AC30" s="21"/>
      <c r="AD30" s="21"/>
      <c r="AE30" s="21"/>
      <c r="AF30" s="355"/>
      <c r="AG30" s="20"/>
      <c r="AH30" s="21"/>
      <c r="AI30" s="21"/>
      <c r="AJ30" s="21"/>
      <c r="AK30" s="29"/>
      <c r="AL30" s="19"/>
      <c r="AM30" s="57"/>
      <c r="AN30" s="2"/>
      <c r="AO30" s="2"/>
      <c r="AP30" s="63"/>
      <c r="AQ30" s="68"/>
      <c r="AR30" s="21"/>
      <c r="AS30" s="21"/>
      <c r="AT30" s="21"/>
      <c r="AU30" s="25"/>
      <c r="AV30" s="21"/>
      <c r="AW30" s="22"/>
      <c r="AX30" s="2"/>
      <c r="AY30" s="23"/>
      <c r="AZ30" s="19"/>
      <c r="BA30" s="19"/>
      <c r="BB30" s="19"/>
      <c r="BC30" s="24"/>
      <c r="BG30" s="147" t="s">
        <v>11</v>
      </c>
      <c r="BH30" s="52">
        <f>Q46/1000</f>
        <v>461.34899999999999</v>
      </c>
      <c r="BI30" s="52">
        <f>AJ46/1000</f>
        <v>0</v>
      </c>
      <c r="BJ30" s="52">
        <f>BB46/1000</f>
        <v>0</v>
      </c>
      <c r="BK30" s="137">
        <f t="shared" si="8"/>
        <v>0</v>
      </c>
      <c r="BL30" s="52">
        <f t="shared" si="9"/>
        <v>461.34899999999999</v>
      </c>
    </row>
    <row r="31" spans="1:67" s="90" customFormat="1">
      <c r="A31" s="699"/>
      <c r="B31" s="91" t="s">
        <v>42</v>
      </c>
      <c r="C31" s="92"/>
      <c r="D31" s="93"/>
      <c r="E31" s="94"/>
      <c r="F31" s="94"/>
      <c r="G31" s="95"/>
      <c r="H31" s="94"/>
      <c r="I31" s="96">
        <f>D50*[2]VIC!D$20/(1-[2]VIC!$D$25)</f>
        <v>100513.62820296962</v>
      </c>
      <c r="J31" s="97">
        <f>$E$50*[2]VIC!E$31*[2]VIC!E$20/(1-[2]VIC!$E$25)</f>
        <v>118548.56030177214</v>
      </c>
      <c r="K31" s="97">
        <f>$E$50*[2]VIC!F$31*[2]VIC!F$20/(1-[2]VIC!$F$25)</f>
        <v>13254.878357139982</v>
      </c>
      <c r="L31" s="98">
        <f>SUM(I31:K31)</f>
        <v>232317.06686188173</v>
      </c>
      <c r="M31" s="562"/>
      <c r="N31" s="96">
        <f>I31-AU31</f>
        <v>100513.62820296962</v>
      </c>
      <c r="O31" s="97">
        <f>J31-AV31</f>
        <v>118548.56030177214</v>
      </c>
      <c r="P31" s="97">
        <f>K31-AW31</f>
        <v>13254.878357139982</v>
      </c>
      <c r="Q31" s="97">
        <f>SUM(N31:P31)</f>
        <v>232317.06686188173</v>
      </c>
      <c r="R31" s="99">
        <f>Q31/[2]Popn!$H$43*1000</f>
        <v>42.164350911012342</v>
      </c>
      <c r="T31" s="201"/>
      <c r="U31" s="198"/>
      <c r="V31" s="198"/>
      <c r="W31" s="205"/>
      <c r="X31" s="204"/>
      <c r="Y31" s="204"/>
      <c r="Z31" s="204"/>
      <c r="AA31" s="101"/>
      <c r="AB31" s="97"/>
      <c r="AC31" s="97"/>
      <c r="AD31" s="97"/>
      <c r="AE31" s="97"/>
      <c r="AF31" s="568"/>
      <c r="AG31" s="96"/>
      <c r="AH31" s="97"/>
      <c r="AI31" s="97"/>
      <c r="AJ31" s="97"/>
      <c r="AK31" s="102"/>
      <c r="AL31" s="103"/>
      <c r="AM31" s="93"/>
      <c r="AN31" s="94"/>
      <c r="AO31" s="94"/>
      <c r="AP31" s="95"/>
      <c r="AQ31" s="100"/>
      <c r="AR31" s="97"/>
      <c r="AS31" s="128"/>
      <c r="AT31" s="128"/>
      <c r="AU31" s="104"/>
      <c r="AV31" s="97"/>
      <c r="AW31" s="98"/>
      <c r="AX31" s="94"/>
      <c r="AY31" s="96"/>
      <c r="AZ31" s="97"/>
      <c r="BA31" s="97"/>
      <c r="BB31" s="97"/>
      <c r="BC31" s="105"/>
      <c r="BG31" s="147" t="s">
        <v>1</v>
      </c>
      <c r="BH31" s="52">
        <f>Q47/1000</f>
        <v>904.95481900283619</v>
      </c>
      <c r="BI31" s="52">
        <f>AJ47/1000</f>
        <v>1598.3814808180325</v>
      </c>
      <c r="BJ31" s="52">
        <f>BB47/1000</f>
        <v>0</v>
      </c>
      <c r="BK31" s="137">
        <f t="shared" si="8"/>
        <v>0.63850050068478936</v>
      </c>
      <c r="BL31" s="52">
        <f t="shared" si="9"/>
        <v>2503.3362998208686</v>
      </c>
      <c r="BM31" s="6"/>
      <c r="BN31" s="6"/>
      <c r="BO31" s="6"/>
    </row>
    <row r="32" spans="1:67">
      <c r="A32" s="699"/>
      <c r="B32" s="23"/>
      <c r="C32" s="17" t="s">
        <v>33</v>
      </c>
      <c r="D32" s="57"/>
      <c r="E32" s="2"/>
      <c r="F32" s="2"/>
      <c r="G32" s="63"/>
      <c r="H32" s="2"/>
      <c r="I32" s="20"/>
      <c r="J32" s="21"/>
      <c r="K32" s="21"/>
      <c r="L32" s="22"/>
      <c r="M32" s="212"/>
      <c r="N32" s="23"/>
      <c r="O32" s="19"/>
      <c r="P32" s="19"/>
      <c r="Q32" s="19"/>
      <c r="R32" s="33"/>
      <c r="T32" s="201"/>
      <c r="U32" s="198"/>
      <c r="V32" s="198"/>
      <c r="W32" s="199"/>
      <c r="X32" s="198"/>
      <c r="Y32" s="198"/>
      <c r="Z32" s="198"/>
      <c r="AA32" s="70"/>
      <c r="AB32" s="21"/>
      <c r="AC32" s="21"/>
      <c r="AD32" s="21"/>
      <c r="AE32" s="21"/>
      <c r="AF32" s="355"/>
      <c r="AG32" s="20"/>
      <c r="AH32" s="21"/>
      <c r="AI32" s="21"/>
      <c r="AJ32" s="21"/>
      <c r="AK32" s="29"/>
      <c r="AL32" s="19"/>
      <c r="AM32" s="57"/>
      <c r="AN32" s="2"/>
      <c r="AO32" s="2"/>
      <c r="AP32" s="63"/>
      <c r="AQ32" s="68"/>
      <c r="AR32" s="21"/>
      <c r="AS32" s="21"/>
      <c r="AT32" s="21"/>
      <c r="AU32" s="25"/>
      <c r="AV32" s="21"/>
      <c r="AW32" s="22"/>
      <c r="AX32" s="2"/>
      <c r="AY32" s="23"/>
      <c r="AZ32" s="19"/>
      <c r="BA32" s="19"/>
      <c r="BB32" s="19"/>
      <c r="BC32" s="24"/>
      <c r="BG32" s="142"/>
    </row>
    <row r="33" spans="1:81">
      <c r="A33" s="699"/>
      <c r="B33" s="23"/>
      <c r="C33" s="17" t="s">
        <v>34</v>
      </c>
      <c r="D33" s="57"/>
      <c r="E33" s="2"/>
      <c r="F33" s="2"/>
      <c r="G33" s="63"/>
      <c r="H33" s="2"/>
      <c r="I33" s="20"/>
      <c r="J33" s="21"/>
      <c r="K33" s="21"/>
      <c r="L33" s="22"/>
      <c r="M33" s="212"/>
      <c r="N33" s="23"/>
      <c r="O33" s="19"/>
      <c r="P33" s="19"/>
      <c r="Q33" s="19"/>
      <c r="R33" s="33"/>
      <c r="T33" s="201"/>
      <c r="U33" s="198"/>
      <c r="V33" s="198"/>
      <c r="W33" s="199"/>
      <c r="X33" s="198"/>
      <c r="Y33" s="198"/>
      <c r="Z33" s="198"/>
      <c r="AA33" s="70"/>
      <c r="AB33" s="21"/>
      <c r="AC33" s="21"/>
      <c r="AD33" s="21"/>
      <c r="AE33" s="21"/>
      <c r="AF33" s="355"/>
      <c r="AG33" s="20"/>
      <c r="AH33" s="21"/>
      <c r="AI33" s="21"/>
      <c r="AJ33" s="21"/>
      <c r="AK33" s="29"/>
      <c r="AL33" s="19"/>
      <c r="AM33" s="57"/>
      <c r="AN33" s="2"/>
      <c r="AO33" s="2"/>
      <c r="AP33" s="63"/>
      <c r="AQ33" s="68"/>
      <c r="AR33" s="21"/>
      <c r="AS33" s="21"/>
      <c r="AT33" s="21"/>
      <c r="AU33" s="25"/>
      <c r="AV33" s="21"/>
      <c r="AW33" s="22"/>
      <c r="AX33" s="2"/>
      <c r="AY33" s="23"/>
      <c r="AZ33" s="19"/>
      <c r="BA33" s="19"/>
      <c r="BB33" s="19"/>
      <c r="BC33" s="24"/>
    </row>
    <row r="34" spans="1:81">
      <c r="A34" s="699"/>
      <c r="B34" s="23"/>
      <c r="C34" s="17" t="s">
        <v>35</v>
      </c>
      <c r="D34" s="57"/>
      <c r="E34" s="2"/>
      <c r="F34" s="2"/>
      <c r="G34" s="63"/>
      <c r="H34" s="2"/>
      <c r="I34" s="20"/>
      <c r="J34" s="21"/>
      <c r="K34" s="21"/>
      <c r="L34" s="22"/>
      <c r="M34" s="212"/>
      <c r="N34" s="23"/>
      <c r="O34" s="19"/>
      <c r="P34" s="19"/>
      <c r="Q34" s="19"/>
      <c r="R34" s="33"/>
      <c r="T34" s="201"/>
      <c r="U34" s="198"/>
      <c r="V34" s="198"/>
      <c r="W34" s="199"/>
      <c r="X34" s="198"/>
      <c r="Y34" s="198"/>
      <c r="Z34" s="198"/>
      <c r="AA34" s="70"/>
      <c r="AB34" s="21"/>
      <c r="AC34" s="21"/>
      <c r="AD34" s="21"/>
      <c r="AE34" s="21"/>
      <c r="AF34" s="355"/>
      <c r="AG34" s="20"/>
      <c r="AH34" s="21"/>
      <c r="AI34" s="21"/>
      <c r="AJ34" s="21"/>
      <c r="AK34" s="29"/>
      <c r="AL34" s="19"/>
      <c r="AM34" s="57"/>
      <c r="AN34" s="2"/>
      <c r="AO34" s="2"/>
      <c r="AP34" s="63"/>
      <c r="AQ34" s="68"/>
      <c r="AR34" s="21"/>
      <c r="AS34" s="21"/>
      <c r="AT34" s="21"/>
      <c r="AU34" s="25"/>
      <c r="AV34" s="21"/>
      <c r="AW34" s="22"/>
      <c r="AX34" s="2"/>
      <c r="AY34" s="23"/>
      <c r="AZ34" s="19"/>
      <c r="BA34" s="19"/>
      <c r="BB34" s="19"/>
      <c r="BC34" s="24"/>
    </row>
    <row r="35" spans="1:81">
      <c r="A35" s="699"/>
      <c r="B35" s="23"/>
      <c r="C35" s="17" t="s">
        <v>36</v>
      </c>
      <c r="D35" s="57"/>
      <c r="E35" s="2"/>
      <c r="F35" s="2"/>
      <c r="G35" s="63"/>
      <c r="H35" s="2"/>
      <c r="I35" s="20"/>
      <c r="J35" s="21"/>
      <c r="K35" s="21"/>
      <c r="L35" s="22"/>
      <c r="M35" s="212"/>
      <c r="N35" s="23"/>
      <c r="O35" s="19"/>
      <c r="P35" s="19"/>
      <c r="Q35" s="19"/>
      <c r="R35" s="33"/>
      <c r="T35" s="201"/>
      <c r="U35" s="198"/>
      <c r="V35" s="198"/>
      <c r="W35" s="199"/>
      <c r="X35" s="198"/>
      <c r="Y35" s="198"/>
      <c r="Z35" s="198"/>
      <c r="AA35" s="70"/>
      <c r="AB35" s="21"/>
      <c r="AC35" s="21"/>
      <c r="AD35" s="21"/>
      <c r="AE35" s="21"/>
      <c r="AF35" s="355"/>
      <c r="AG35" s="20"/>
      <c r="AH35" s="21"/>
      <c r="AI35" s="21"/>
      <c r="AJ35" s="21"/>
      <c r="AK35" s="29"/>
      <c r="AL35" s="19"/>
      <c r="AM35" s="57"/>
      <c r="AN35" s="2"/>
      <c r="AO35" s="2"/>
      <c r="AP35" s="63"/>
      <c r="AQ35" s="68"/>
      <c r="AR35" s="21"/>
      <c r="AS35" s="21"/>
      <c r="AT35" s="21"/>
      <c r="AU35" s="25"/>
      <c r="AV35" s="21"/>
      <c r="AW35" s="22"/>
      <c r="AX35" s="2"/>
      <c r="AY35" s="23"/>
      <c r="AZ35" s="19"/>
      <c r="BA35" s="19"/>
      <c r="BB35" s="19"/>
      <c r="BC35" s="24"/>
    </row>
    <row r="36" spans="1:81" s="90" customFormat="1">
      <c r="A36" s="699"/>
      <c r="B36" s="91" t="s">
        <v>43</v>
      </c>
      <c r="C36" s="92"/>
      <c r="D36" s="93"/>
      <c r="E36" s="94"/>
      <c r="F36" s="94"/>
      <c r="G36" s="95"/>
      <c r="H36" s="94"/>
      <c r="I36" s="96">
        <f>D50*[2]VIC!D$21/(1-[2]VIC!$D$25)</f>
        <v>139172.71597334254</v>
      </c>
      <c r="J36" s="97">
        <f>$E$50*[2]VIC!E$31*[2]VIC!E$21/(1-[2]VIC!$E$25)</f>
        <v>140976.66630481012</v>
      </c>
      <c r="K36" s="97">
        <f>$E$50*[2]VIC!F$31*[2]VIC!F$21/(1-[2]VIC!$F$25)</f>
        <v>6117.636164833837</v>
      </c>
      <c r="L36" s="98">
        <f>SUM(I36:K36)</f>
        <v>286267.01844298647</v>
      </c>
      <c r="M36" s="562"/>
      <c r="N36" s="96">
        <f>I36-AU36</f>
        <v>139172.71597334254</v>
      </c>
      <c r="O36" s="97">
        <f>J36-AV36</f>
        <v>140976.66630481012</v>
      </c>
      <c r="P36" s="97">
        <f>K36-AW36</f>
        <v>6117.636164833837</v>
      </c>
      <c r="Q36" s="97">
        <f>SUM(N36:P36)</f>
        <v>286267.01844298647</v>
      </c>
      <c r="R36" s="99">
        <f>Q36/[2]Popn!$H$43*1000</f>
        <v>51.955989213032701</v>
      </c>
      <c r="T36" s="201"/>
      <c r="U36" s="198"/>
      <c r="V36" s="198"/>
      <c r="W36" s="205"/>
      <c r="X36" s="204"/>
      <c r="Y36" s="204"/>
      <c r="Z36" s="204"/>
      <c r="AA36" s="101"/>
      <c r="AB36" s="97"/>
      <c r="AC36" s="97"/>
      <c r="AD36" s="97"/>
      <c r="AE36" s="97"/>
      <c r="AF36" s="568"/>
      <c r="AG36" s="96"/>
      <c r="AH36" s="97"/>
      <c r="AI36" s="97"/>
      <c r="AJ36" s="97"/>
      <c r="AK36" s="102"/>
      <c r="AL36" s="103"/>
      <c r="AM36" s="93"/>
      <c r="AN36" s="94"/>
      <c r="AO36" s="94"/>
      <c r="AP36" s="95"/>
      <c r="AQ36" s="100"/>
      <c r="AR36" s="97"/>
      <c r="AS36" s="97"/>
      <c r="AT36" s="97"/>
      <c r="AU36" s="104"/>
      <c r="AV36" s="97"/>
      <c r="AW36" s="98"/>
      <c r="AX36" s="94"/>
      <c r="AY36" s="96"/>
      <c r="AZ36" s="97"/>
      <c r="BA36" s="97"/>
      <c r="BB36" s="97"/>
      <c r="BC36" s="105"/>
      <c r="BG36" s="143"/>
    </row>
    <row r="37" spans="1:81" s="106" customFormat="1">
      <c r="A37" s="699"/>
      <c r="B37" s="107" t="s">
        <v>67</v>
      </c>
      <c r="C37" s="108"/>
      <c r="D37" s="109"/>
      <c r="E37" s="110"/>
      <c r="F37" s="110"/>
      <c r="G37" s="111"/>
      <c r="H37" s="110"/>
      <c r="I37" s="112"/>
      <c r="J37" s="113"/>
      <c r="K37" s="113"/>
      <c r="L37" s="114"/>
      <c r="M37" s="562"/>
      <c r="N37" s="112">
        <f>N31+N36</f>
        <v>239686.34417631215</v>
      </c>
      <c r="O37" s="113">
        <f>O31+O36</f>
        <v>259525.22660658226</v>
      </c>
      <c r="P37" s="113">
        <f>P31+P36</f>
        <v>19372.514521973819</v>
      </c>
      <c r="Q37" s="113">
        <f>Q31+Q36</f>
        <v>518584.08530486817</v>
      </c>
      <c r="R37" s="115">
        <f>R31+R36</f>
        <v>94.120340124045043</v>
      </c>
      <c r="T37" s="201"/>
      <c r="U37" s="198"/>
      <c r="V37" s="198"/>
      <c r="W37" s="203"/>
      <c r="X37" s="130">
        <f>[2]PACIA!$C$49*[2]PACIA!D49</f>
        <v>55996.131999999998</v>
      </c>
      <c r="Y37" s="130">
        <f>[2]PACIA!$C$49*[2]PACIA!E49</f>
        <v>86991.37999999999</v>
      </c>
      <c r="Z37" s="130">
        <f>[2]PACIA!$C$49*[2]PACIA!F49</f>
        <v>3216.4879999999998</v>
      </c>
      <c r="AA37" s="117">
        <f>SUM(X37:Z37)</f>
        <v>146204</v>
      </c>
      <c r="AB37" s="113"/>
      <c r="AC37" s="113"/>
      <c r="AD37" s="113"/>
      <c r="AE37" s="113"/>
      <c r="AF37" s="355" t="s">
        <v>197</v>
      </c>
      <c r="AG37" s="112">
        <f>X37</f>
        <v>55996.131999999998</v>
      </c>
      <c r="AH37" s="113">
        <f>Y37</f>
        <v>86991.37999999999</v>
      </c>
      <c r="AI37" s="113">
        <f>Z37</f>
        <v>3216.4879999999998</v>
      </c>
      <c r="AJ37" s="114">
        <f>AA37</f>
        <v>146204</v>
      </c>
      <c r="AK37" s="118">
        <f>AJ37/[2]Popn!$H$43*1000</f>
        <v>26.53527286593479</v>
      </c>
      <c r="AL37" s="119"/>
      <c r="AM37" s="109"/>
      <c r="AN37" s="110"/>
      <c r="AO37" s="110"/>
      <c r="AP37" s="111"/>
      <c r="AQ37" s="116"/>
      <c r="AR37" s="113"/>
      <c r="AS37" s="113"/>
      <c r="AT37" s="113"/>
      <c r="AU37" s="120"/>
      <c r="AV37" s="113"/>
      <c r="AW37" s="114"/>
      <c r="AX37" s="110"/>
      <c r="AY37" s="112">
        <f>AY31+AY36</f>
        <v>0</v>
      </c>
      <c r="AZ37" s="113">
        <f>AZ31+AZ36</f>
        <v>0</v>
      </c>
      <c r="BA37" s="113">
        <f>BA31+BA36</f>
        <v>0</v>
      </c>
      <c r="BB37" s="113">
        <f>BB31+BB36</f>
        <v>0</v>
      </c>
      <c r="BC37" s="115"/>
      <c r="BG37" s="144"/>
    </row>
    <row r="38" spans="1:81" s="106" customFormat="1">
      <c r="A38" s="699"/>
      <c r="B38" s="37" t="s">
        <v>8</v>
      </c>
      <c r="C38" s="129" t="s">
        <v>8</v>
      </c>
      <c r="D38" s="109"/>
      <c r="E38" s="110"/>
      <c r="F38" s="110"/>
      <c r="G38" s="111"/>
      <c r="H38" s="110"/>
      <c r="I38" s="112">
        <f>D50*[2]VIC!D$19/(1-[2]VIC!$D$25)</f>
        <v>72163.630504696135</v>
      </c>
      <c r="J38" s="113">
        <f>$E$50*[2]VIC!E$31*[2]VIC!E$19/(1-[2]VIC!$E$25)</f>
        <v>32040.151432911392</v>
      </c>
      <c r="K38" s="113">
        <f>$E$50*[2]VIC!F$31*[2]VIC!F$19/(1-[2]VIC!$F$25)</f>
        <v>1019.6060274723063</v>
      </c>
      <c r="L38" s="114">
        <f>SUM(I38:K38)</f>
        <v>105223.38796507985</v>
      </c>
      <c r="M38" s="562"/>
      <c r="N38" s="112">
        <f>I38-AU38</f>
        <v>72163.630504696135</v>
      </c>
      <c r="O38" s="113">
        <f>J38-AV38</f>
        <v>32040.151432911392</v>
      </c>
      <c r="P38" s="113">
        <f>K38-AW38</f>
        <v>1019.6060274723063</v>
      </c>
      <c r="Q38" s="113">
        <f>SUM(N38:P38)</f>
        <v>105223.38796507985</v>
      </c>
      <c r="R38" s="115">
        <f>Q38/[2]Popn!$H$43*1000</f>
        <v>19.0975028831736</v>
      </c>
      <c r="T38" s="202">
        <f>SUMIF([2]VIC!$D$186:$D$217,$C38,[2]VIC!K$186:K$217)</f>
        <v>115968</v>
      </c>
      <c r="U38" s="130">
        <f>[2]VIC!R287</f>
        <v>897</v>
      </c>
      <c r="V38" s="130">
        <f>[2]VIC!S287</f>
        <v>0</v>
      </c>
      <c r="W38" s="203"/>
      <c r="X38" s="130"/>
      <c r="Y38" s="130"/>
      <c r="Z38" s="130"/>
      <c r="AA38" s="117"/>
      <c r="AB38" s="113"/>
      <c r="AC38" s="113"/>
      <c r="AD38" s="113"/>
      <c r="AE38" s="113"/>
      <c r="AF38" s="567"/>
      <c r="AG38" s="112">
        <f t="shared" ref="AG38:AI40" si="11">T38</f>
        <v>115968</v>
      </c>
      <c r="AH38" s="113">
        <f t="shared" si="11"/>
        <v>897</v>
      </c>
      <c r="AI38" s="113">
        <f t="shared" si="11"/>
        <v>0</v>
      </c>
      <c r="AJ38" s="113">
        <f>SUM(AG38:AI38)</f>
        <v>116865</v>
      </c>
      <c r="AK38" s="118">
        <f>AJ38/[2]Popn!$H$43*1000</f>
        <v>21.210395498601059</v>
      </c>
      <c r="AL38" s="119"/>
      <c r="AM38" s="109"/>
      <c r="AN38" s="110"/>
      <c r="AO38" s="110"/>
      <c r="AP38" s="111"/>
      <c r="AQ38" s="116"/>
      <c r="AR38" s="113"/>
      <c r="AS38" s="113"/>
      <c r="AT38" s="113"/>
      <c r="AU38" s="120"/>
      <c r="AV38" s="113"/>
      <c r="AW38" s="114"/>
      <c r="AX38" s="110"/>
      <c r="AY38" s="112"/>
      <c r="AZ38" s="113"/>
      <c r="BA38" s="113"/>
      <c r="BB38" s="113"/>
      <c r="BC38" s="121"/>
      <c r="BG38" s="144"/>
    </row>
    <row r="39" spans="1:81">
      <c r="A39" s="699"/>
      <c r="B39" s="23" t="s">
        <v>7</v>
      </c>
      <c r="C39" s="17" t="s">
        <v>9</v>
      </c>
      <c r="D39" s="57"/>
      <c r="E39" s="2"/>
      <c r="F39" s="2"/>
      <c r="G39" s="63"/>
      <c r="H39" s="2"/>
      <c r="I39" s="20">
        <f>D50*[2]VIC!D$17/(1-[2]VIC!$D$25)</f>
        <v>69586.357986671268</v>
      </c>
      <c r="J39" s="21">
        <f>$E$50*[2]VIC!E$31*[2]VIC!E$17/(1-[2]VIC!$E$25)</f>
        <v>104130.49215696203</v>
      </c>
      <c r="K39" s="21">
        <f>$E$50*[2]VIC!F$31*[2]VIC!F$17/(1-[2]VIC!$F$25)</f>
        <v>13254.878357139982</v>
      </c>
      <c r="L39" s="22">
        <f>SUM(I39:K39)</f>
        <v>186971.72850077329</v>
      </c>
      <c r="M39" s="212" t="s">
        <v>54</v>
      </c>
      <c r="N39" s="20"/>
      <c r="O39" s="21"/>
      <c r="P39" s="21"/>
      <c r="Q39" s="21"/>
      <c r="R39" s="34"/>
      <c r="T39" s="201">
        <f>SUMIF([2]VIC!$D$186:$D$217,$C39,[2]VIC!K$186:K$217)</f>
        <v>3892</v>
      </c>
      <c r="U39" s="198">
        <f>SUMIF([2]VIC!$D$186:$D$217,$C39,[2]VIC!L$186:L$217)</f>
        <v>897</v>
      </c>
      <c r="V39" s="198">
        <f>SUMIF([2]VIC!$D$186:$D$217,$C39,[2]VIC!M$186:M$217)</f>
        <v>0</v>
      </c>
      <c r="W39" s="199"/>
      <c r="X39" s="198"/>
      <c r="Y39" s="198"/>
      <c r="Z39" s="198"/>
      <c r="AA39" s="70"/>
      <c r="AB39" s="21"/>
      <c r="AC39" s="21"/>
      <c r="AD39" s="21"/>
      <c r="AE39" s="21"/>
      <c r="AF39" s="355"/>
      <c r="AG39" s="20">
        <f t="shared" si="11"/>
        <v>3892</v>
      </c>
      <c r="AH39" s="21">
        <f t="shared" si="11"/>
        <v>897</v>
      </c>
      <c r="AI39" s="21">
        <f t="shared" si="11"/>
        <v>0</v>
      </c>
      <c r="AJ39" s="21">
        <f>SUM(AG39:AI39)</f>
        <v>4789</v>
      </c>
      <c r="AK39" s="29">
        <f>AJ39/[2]Popn!$H$43*1000</f>
        <v>0.86917883064048673</v>
      </c>
      <c r="AL39" s="19"/>
      <c r="AM39" s="57"/>
      <c r="AN39" s="2"/>
      <c r="AO39" s="2"/>
      <c r="AP39" s="63"/>
      <c r="AQ39" s="68"/>
      <c r="AR39" s="21"/>
      <c r="AS39" s="35"/>
      <c r="AT39" s="21"/>
      <c r="AU39" s="25"/>
      <c r="AV39" s="21"/>
      <c r="AW39" s="22"/>
      <c r="AX39" s="2"/>
      <c r="AY39" s="20"/>
      <c r="AZ39" s="21"/>
      <c r="BA39" s="21"/>
      <c r="BB39" s="21"/>
      <c r="BC39" s="29"/>
    </row>
    <row r="40" spans="1:81">
      <c r="A40" s="699"/>
      <c r="B40" s="23"/>
      <c r="C40" s="17" t="s">
        <v>10</v>
      </c>
      <c r="D40" s="57"/>
      <c r="E40" s="2"/>
      <c r="F40" s="2"/>
      <c r="G40" s="63"/>
      <c r="H40" s="2"/>
      <c r="I40" s="20"/>
      <c r="J40" s="21"/>
      <c r="K40" s="21"/>
      <c r="L40" s="22"/>
      <c r="M40" s="212"/>
      <c r="N40" s="23"/>
      <c r="O40" s="19"/>
      <c r="P40" s="19"/>
      <c r="Q40" s="19"/>
      <c r="R40" s="33"/>
      <c r="T40" s="201">
        <f>SUMIF([2]VIC!$D$186:$D$217,$C40,[2]VIC!K$186:K$217)</f>
        <v>66410</v>
      </c>
      <c r="U40" s="198">
        <f>SUMIF([2]VIC!$D$186:$D$217,$C40,[2]VIC!L$186:L$217)-AN40</f>
        <v>187370</v>
      </c>
      <c r="V40" s="198">
        <f>SUMIF([2]VIC!$D$186:$D$217,$C40,[2]VIC!M$186:M$217)</f>
        <v>785</v>
      </c>
      <c r="W40" s="199"/>
      <c r="X40" s="198"/>
      <c r="Y40" s="198"/>
      <c r="Z40" s="198"/>
      <c r="AA40" s="70"/>
      <c r="AB40" s="21"/>
      <c r="AC40" s="21"/>
      <c r="AD40" s="21"/>
      <c r="AE40" s="21"/>
      <c r="AF40" s="355"/>
      <c r="AG40" s="20">
        <f t="shared" si="11"/>
        <v>66410</v>
      </c>
      <c r="AH40" s="21">
        <f t="shared" si="11"/>
        <v>187370</v>
      </c>
      <c r="AI40" s="21">
        <f t="shared" si="11"/>
        <v>785</v>
      </c>
      <c r="AJ40" s="21">
        <f>SUM(AG40:AI40)</f>
        <v>254565</v>
      </c>
      <c r="AK40" s="29">
        <f>AJ40/[2]Popn!$H$43*1000</f>
        <v>46.202236170807161</v>
      </c>
      <c r="AL40" s="19"/>
      <c r="AM40" s="57"/>
      <c r="AN40" s="198">
        <f>[2]VIC!M288</f>
        <v>1359</v>
      </c>
      <c r="AO40" s="2"/>
      <c r="AP40" s="199">
        <f>SUM(AM40:AO40)</f>
        <v>1359</v>
      </c>
      <c r="AQ40" s="68"/>
      <c r="AR40" s="21"/>
      <c r="AS40" s="35"/>
      <c r="AT40" s="21"/>
      <c r="AU40" s="25"/>
      <c r="AV40" s="21"/>
      <c r="AW40" s="22"/>
      <c r="AX40" s="2"/>
      <c r="AY40" s="23"/>
      <c r="AZ40" s="21">
        <f>AN40</f>
        <v>1359</v>
      </c>
      <c r="BA40" s="19"/>
      <c r="BB40" s="21"/>
      <c r="BC40" s="29"/>
    </row>
    <row r="41" spans="1:81" s="106" customFormat="1" ht="15.75">
      <c r="A41" s="699"/>
      <c r="B41" s="107" t="s">
        <v>67</v>
      </c>
      <c r="C41" s="108"/>
      <c r="D41" s="109"/>
      <c r="E41" s="110"/>
      <c r="F41" s="110"/>
      <c r="G41" s="111"/>
      <c r="H41" s="110"/>
      <c r="I41" s="112">
        <f>SUM(I39:I40)</f>
        <v>69586.357986671268</v>
      </c>
      <c r="J41" s="113">
        <f>SUM(J39:J40)</f>
        <v>104130.49215696203</v>
      </c>
      <c r="K41" s="113">
        <f>SUM(K39:K40)</f>
        <v>13254.878357139982</v>
      </c>
      <c r="L41" s="114">
        <f>SUM(L39:L40)</f>
        <v>186971.72850077329</v>
      </c>
      <c r="M41" s="562"/>
      <c r="N41" s="112">
        <f>I41-AU41</f>
        <v>62277.037981802489</v>
      </c>
      <c r="O41" s="113">
        <f>J41-AV41</f>
        <v>100059.69976742403</v>
      </c>
      <c r="P41" s="113">
        <f>K41-AW41</f>
        <v>12966.290032192906</v>
      </c>
      <c r="Q41" s="114">
        <f>SUM(N41:P41)</f>
        <v>175303.02778141943</v>
      </c>
      <c r="R41" s="115">
        <f>Q41/[2]Popn!$H$43*1000</f>
        <v>31.816596511754206</v>
      </c>
      <c r="T41" s="201"/>
      <c r="U41" s="198"/>
      <c r="V41" s="198"/>
      <c r="W41" s="203"/>
      <c r="X41" s="130"/>
      <c r="Y41" s="130"/>
      <c r="Z41" s="130"/>
      <c r="AA41" s="117"/>
      <c r="AB41" s="113"/>
      <c r="AC41" s="113"/>
      <c r="AD41" s="113"/>
      <c r="AE41" s="113"/>
      <c r="AF41" s="567"/>
      <c r="AG41" s="112">
        <f>SUM(AG39:AG40)</f>
        <v>70302</v>
      </c>
      <c r="AH41" s="113">
        <f>SUM(AH39:AH40)</f>
        <v>188267</v>
      </c>
      <c r="AI41" s="113">
        <f>SUM(AI39:AI40)</f>
        <v>785</v>
      </c>
      <c r="AJ41" s="113">
        <f>SUM(AJ39:AJ40)</f>
        <v>259354</v>
      </c>
      <c r="AK41" s="118">
        <f>SUM(AK39:AK40)</f>
        <v>47.071415001447647</v>
      </c>
      <c r="AL41" s="119"/>
      <c r="AM41" s="109"/>
      <c r="AN41" s="110"/>
      <c r="AO41" s="110"/>
      <c r="AP41" s="111"/>
      <c r="AQ41" s="116"/>
      <c r="AR41" s="113">
        <f>L41*'[2]Lfill en &amp; composn'!$D$25</f>
        <v>29448.047238871794</v>
      </c>
      <c r="AS41" s="123">
        <f>AR41/SUM($AR$7:$AR$49)</f>
        <v>8.1427715528148717E-2</v>
      </c>
      <c r="AT41" s="113">
        <f>AS41*'[2]Lfill en &amp; composn'!$H$64/'[2]Lfill en &amp; composn'!$B$25</f>
        <v>19639.426965517647</v>
      </c>
      <c r="AU41" s="120">
        <f>AT41*I41/$L41</f>
        <v>7309.3200048687777</v>
      </c>
      <c r="AV41" s="113">
        <f>AU41*J41/$L41</f>
        <v>4070.792389538005</v>
      </c>
      <c r="AW41" s="114">
        <f>AV41*K41/$L41</f>
        <v>288.58832494707502</v>
      </c>
      <c r="AX41" s="110"/>
      <c r="AY41" s="112">
        <f>AU41</f>
        <v>7309.3200048687777</v>
      </c>
      <c r="AZ41" s="113">
        <f>AV41+AZ40</f>
        <v>5429.7923895380045</v>
      </c>
      <c r="BA41" s="113">
        <f>AW41</f>
        <v>288.58832494707502</v>
      </c>
      <c r="BB41" s="113">
        <f>SUM(AY41:BA41)</f>
        <v>13027.700719353857</v>
      </c>
      <c r="BC41" s="118">
        <f>BB41/[2]Popn!$H$43*1000</f>
        <v>2.3644605715561107</v>
      </c>
      <c r="BD41" s="122"/>
      <c r="BG41" s="144"/>
      <c r="BR41" s="336" t="s">
        <v>106</v>
      </c>
      <c r="BS41" s="315"/>
      <c r="BT41" s="316" t="s">
        <v>109</v>
      </c>
      <c r="BU41" s="316"/>
      <c r="BV41" s="314"/>
      <c r="BW41" s="310" t="s">
        <v>107</v>
      </c>
      <c r="BX41" s="314"/>
      <c r="BY41" s="314"/>
      <c r="BZ41" s="314"/>
      <c r="CA41" s="314"/>
      <c r="CB41" s="314"/>
      <c r="CC41" s="314"/>
    </row>
    <row r="42" spans="1:81" ht="38.25">
      <c r="A42" s="699"/>
      <c r="B42" s="23" t="s">
        <v>11</v>
      </c>
      <c r="C42" s="17" t="s">
        <v>12</v>
      </c>
      <c r="D42" s="57"/>
      <c r="E42" s="2"/>
      <c r="F42" s="2"/>
      <c r="G42" s="63"/>
      <c r="H42" s="2"/>
      <c r="I42" s="20"/>
      <c r="J42" s="21"/>
      <c r="K42" s="21"/>
      <c r="L42" s="22"/>
      <c r="M42" s="212"/>
      <c r="N42" s="23"/>
      <c r="O42" s="19"/>
      <c r="P42" s="19"/>
      <c r="Q42" s="19"/>
      <c r="R42" s="33"/>
      <c r="T42" s="201"/>
      <c r="U42" s="198"/>
      <c r="V42" s="198"/>
      <c r="W42" s="199"/>
      <c r="X42" s="198"/>
      <c r="Y42" s="198"/>
      <c r="Z42" s="198"/>
      <c r="AA42" s="70"/>
      <c r="AB42" s="21"/>
      <c r="AC42" s="21"/>
      <c r="AD42" s="21"/>
      <c r="AE42" s="21"/>
      <c r="AF42" s="355"/>
      <c r="AG42" s="20"/>
      <c r="AH42" s="21"/>
      <c r="AI42" s="21"/>
      <c r="AJ42" s="21"/>
      <c r="AK42" s="29"/>
      <c r="AL42" s="19"/>
      <c r="AM42" s="57"/>
      <c r="AN42" s="2"/>
      <c r="AO42" s="2"/>
      <c r="AP42" s="63"/>
      <c r="AQ42" s="68"/>
      <c r="AR42" s="21"/>
      <c r="AS42" s="21"/>
      <c r="AT42" s="21"/>
      <c r="AU42" s="25"/>
      <c r="AV42" s="21"/>
      <c r="AW42" s="22"/>
      <c r="AX42" s="2"/>
      <c r="AY42" s="23"/>
      <c r="AZ42" s="19"/>
      <c r="BA42" s="19"/>
      <c r="BB42" s="19"/>
      <c r="BC42" s="24"/>
      <c r="BR42" s="317"/>
      <c r="BS42" s="317"/>
      <c r="BT42" s="317"/>
      <c r="BU42" s="317"/>
      <c r="BV42" s="318" t="s">
        <v>100</v>
      </c>
      <c r="BW42" s="311" t="s">
        <v>104</v>
      </c>
      <c r="BX42" s="318" t="s">
        <v>101</v>
      </c>
      <c r="BY42" s="319" t="s">
        <v>102</v>
      </c>
      <c r="BZ42" s="318" t="s">
        <v>103</v>
      </c>
      <c r="CA42" s="574" t="s">
        <v>192</v>
      </c>
      <c r="CB42" s="574" t="s">
        <v>258</v>
      </c>
      <c r="CC42" s="317"/>
    </row>
    <row r="43" spans="1:81">
      <c r="A43" s="699"/>
      <c r="B43" s="23"/>
      <c r="C43" s="17" t="s">
        <v>13</v>
      </c>
      <c r="D43" s="57"/>
      <c r="E43" s="2"/>
      <c r="F43" s="2"/>
      <c r="G43" s="156">
        <f>'[2]Haz-Vic'!$G$31+'[2]Haz-Vic'!$G$34</f>
        <v>374360</v>
      </c>
      <c r="H43" s="3"/>
      <c r="I43" s="20"/>
      <c r="J43" s="21"/>
      <c r="K43" s="21">
        <f>G43</f>
        <v>374360</v>
      </c>
      <c r="L43" s="22">
        <f>G43</f>
        <v>374360</v>
      </c>
      <c r="M43" s="212" t="s">
        <v>84</v>
      </c>
      <c r="N43" s="20"/>
      <c r="O43" s="21"/>
      <c r="P43" s="21">
        <f>K43</f>
        <v>374360</v>
      </c>
      <c r="Q43" s="21">
        <f>SUM(N43:P43)</f>
        <v>374360</v>
      </c>
      <c r="R43" s="34">
        <f>Q43/[2]Popn!$H$43*1000</f>
        <v>67.944411576231488</v>
      </c>
      <c r="T43" s="201"/>
      <c r="U43" s="198"/>
      <c r="V43" s="198"/>
      <c r="W43" s="64"/>
      <c r="X43" s="3"/>
      <c r="Y43" s="3"/>
      <c r="Z43" s="3"/>
      <c r="AA43" s="69"/>
      <c r="AB43" s="21"/>
      <c r="AC43" s="21"/>
      <c r="AD43" s="21"/>
      <c r="AE43" s="21"/>
      <c r="AF43" s="355"/>
      <c r="AG43" s="20"/>
      <c r="AH43" s="21"/>
      <c r="AI43" s="21"/>
      <c r="AJ43" s="21"/>
      <c r="AK43" s="29"/>
      <c r="AL43" s="19"/>
      <c r="AM43" s="57"/>
      <c r="AN43" s="2"/>
      <c r="AO43" s="2"/>
      <c r="AP43" s="64"/>
      <c r="AQ43" s="69"/>
      <c r="AR43" s="21"/>
      <c r="AS43" s="21"/>
      <c r="AT43" s="21"/>
      <c r="AU43" s="25"/>
      <c r="AV43" s="21"/>
      <c r="AW43" s="22"/>
      <c r="AX43" s="2"/>
      <c r="AY43" s="20"/>
      <c r="AZ43" s="21"/>
      <c r="BA43" s="21"/>
      <c r="BB43" s="21"/>
      <c r="BC43" s="24"/>
      <c r="BR43" s="317"/>
      <c r="BS43" s="317"/>
      <c r="BT43" s="317"/>
      <c r="BU43" s="320" t="s">
        <v>72</v>
      </c>
      <c r="BV43" s="321">
        <f>BL151</f>
        <v>0.94984707315458783</v>
      </c>
      <c r="BW43" s="307">
        <f>AVERAGE(BV43,BX43)</f>
        <v>0.87982298060662822</v>
      </c>
      <c r="BX43" s="322">
        <f>BL104</f>
        <v>0.80979888805866862</v>
      </c>
      <c r="BY43" s="322">
        <f>BL57</f>
        <v>0.8049411321074712</v>
      </c>
      <c r="BZ43" s="322">
        <f>BL10</f>
        <v>0.82735214234230936</v>
      </c>
      <c r="CA43" s="595">
        <f>(BZ43-BV43)/BV43</f>
        <v>-0.12896279230029525</v>
      </c>
      <c r="CB43" s="594">
        <f>(BZ43/BV43)^(1/4)-1</f>
        <v>-3.3928707920406365E-2</v>
      </c>
      <c r="CC43" s="317"/>
    </row>
    <row r="44" spans="1:81">
      <c r="A44" s="699"/>
      <c r="B44" s="23"/>
      <c r="C44" s="17" t="s">
        <v>14</v>
      </c>
      <c r="D44" s="57"/>
      <c r="E44" s="2"/>
      <c r="F44" s="2"/>
      <c r="G44" s="156">
        <f>'[2]Haz-Vic'!$G$32+'[2]Haz-Vic'!$G$35</f>
        <v>46368</v>
      </c>
      <c r="H44" s="3"/>
      <c r="I44" s="20"/>
      <c r="J44" s="21">
        <f>G44</f>
        <v>46368</v>
      </c>
      <c r="K44" s="21"/>
      <c r="L44" s="22">
        <f>G44</f>
        <v>46368</v>
      </c>
      <c r="M44" s="212" t="s">
        <v>85</v>
      </c>
      <c r="N44" s="23"/>
      <c r="O44" s="21">
        <f>J44</f>
        <v>46368</v>
      </c>
      <c r="P44" s="19"/>
      <c r="Q44" s="21">
        <f>SUM(N44:P44)</f>
        <v>46368</v>
      </c>
      <c r="R44" s="34">
        <f>Q44/[2]Popn!$H$43*1000</f>
        <v>8.4155531466147586</v>
      </c>
      <c r="T44" s="201"/>
      <c r="U44" s="198"/>
      <c r="V44" s="198"/>
      <c r="W44" s="64"/>
      <c r="X44" s="3"/>
      <c r="Y44" s="3"/>
      <c r="Z44" s="3"/>
      <c r="AA44" s="69"/>
      <c r="AB44" s="21"/>
      <c r="AC44" s="21"/>
      <c r="AD44" s="21"/>
      <c r="AE44" s="21"/>
      <c r="AF44" s="355"/>
      <c r="AG44" s="20"/>
      <c r="AH44" s="21"/>
      <c r="AI44" s="21"/>
      <c r="AJ44" s="21"/>
      <c r="AK44" s="29"/>
      <c r="AL44" s="19"/>
      <c r="AM44" s="57"/>
      <c r="AN44" s="2"/>
      <c r="AO44" s="2"/>
      <c r="AP44" s="64"/>
      <c r="AQ44" s="296">
        <f>[2]VIC!$X$354</f>
        <v>16503</v>
      </c>
      <c r="AR44" s="21"/>
      <c r="AS44" s="21"/>
      <c r="AT44" s="21"/>
      <c r="AU44" s="25"/>
      <c r="AV44" s="21"/>
      <c r="AW44" s="22"/>
      <c r="AX44" s="2"/>
      <c r="AY44" s="23"/>
      <c r="AZ44" s="19"/>
      <c r="BA44" s="19"/>
      <c r="BB44" s="21"/>
      <c r="BC44" s="24"/>
      <c r="BR44" s="317"/>
      <c r="BS44" s="317"/>
      <c r="BT44" s="317"/>
      <c r="BU44" s="323" t="s">
        <v>68</v>
      </c>
      <c r="BV44" s="335">
        <f>BL152</f>
        <v>1.1302591426986355</v>
      </c>
      <c r="BW44" s="308">
        <f>AVERAGE(BV44,BX44)</f>
        <v>1.1048477271710531</v>
      </c>
      <c r="BX44" s="324">
        <f>BL105</f>
        <v>1.0794363116434706</v>
      </c>
      <c r="BY44" s="324">
        <f>BL58</f>
        <v>1.2818246949750487</v>
      </c>
      <c r="BZ44" s="324">
        <f>BL11</f>
        <v>1.3010730474568648</v>
      </c>
      <c r="CA44" s="656">
        <f t="shared" ref="CA44:CA47" si="12">(BZ44-BV44)/BV44</f>
        <v>0.15112808939584396</v>
      </c>
      <c r="CB44" s="593">
        <f t="shared" ref="CB44:CB47" si="13">(BZ44/BV44)^(1/4)-1</f>
        <v>3.5811939950574079E-2</v>
      </c>
      <c r="CC44" s="317"/>
    </row>
    <row r="45" spans="1:81">
      <c r="A45" s="699"/>
      <c r="B45" s="23"/>
      <c r="C45" s="17" t="s">
        <v>15</v>
      </c>
      <c r="D45" s="57"/>
      <c r="E45" s="2"/>
      <c r="F45" s="2"/>
      <c r="G45" s="156">
        <f>'[2]Haz-Vic'!$G$33</f>
        <v>40621</v>
      </c>
      <c r="H45" s="3"/>
      <c r="I45" s="20"/>
      <c r="J45" s="21">
        <f>G45</f>
        <v>40621</v>
      </c>
      <c r="K45" s="21"/>
      <c r="L45" s="22">
        <f>G45</f>
        <v>40621</v>
      </c>
      <c r="M45" s="212" t="s">
        <v>85</v>
      </c>
      <c r="N45" s="23"/>
      <c r="O45" s="21">
        <f>J45</f>
        <v>40621</v>
      </c>
      <c r="P45" s="19"/>
      <c r="Q45" s="21">
        <f>SUM(N45:P45)</f>
        <v>40621</v>
      </c>
      <c r="R45" s="34">
        <f>Q45/[2]Popn!$H$43*1000</f>
        <v>7.372502250876428</v>
      </c>
      <c r="T45" s="201"/>
      <c r="U45" s="198"/>
      <c r="V45" s="198"/>
      <c r="W45" s="64"/>
      <c r="X45" s="3"/>
      <c r="Y45" s="3"/>
      <c r="Z45" s="3"/>
      <c r="AA45" s="69"/>
      <c r="AB45" s="21"/>
      <c r="AC45" s="21"/>
      <c r="AD45" s="21"/>
      <c r="AE45" s="21"/>
      <c r="AF45" s="355"/>
      <c r="AG45" s="20"/>
      <c r="AH45" s="21"/>
      <c r="AI45" s="21"/>
      <c r="AJ45" s="21"/>
      <c r="AK45" s="29"/>
      <c r="AL45" s="19"/>
      <c r="AM45" s="57"/>
      <c r="AN45" s="2"/>
      <c r="AO45" s="2"/>
      <c r="AP45" s="64"/>
      <c r="AQ45" s="69"/>
      <c r="AR45" s="21"/>
      <c r="AS45" s="21"/>
      <c r="AT45" s="21"/>
      <c r="AU45" s="25"/>
      <c r="AV45" s="21"/>
      <c r="AW45" s="22"/>
      <c r="AX45" s="2"/>
      <c r="AY45" s="23"/>
      <c r="AZ45" s="19"/>
      <c r="BA45" s="19"/>
      <c r="BB45" s="21"/>
      <c r="BC45" s="24"/>
      <c r="BR45" s="317"/>
      <c r="BS45" s="317"/>
      <c r="BT45" s="317"/>
      <c r="BU45" s="323" t="s">
        <v>69</v>
      </c>
      <c r="BV45" s="335">
        <f>BL153</f>
        <v>5.0010652765189088E-2</v>
      </c>
      <c r="BW45" s="308">
        <f>AVERAGE(BV45,BX45)</f>
        <v>4.8847089589088552E-2</v>
      </c>
      <c r="BX45" s="324">
        <f>BL106</f>
        <v>4.7683526412988009E-2</v>
      </c>
      <c r="BY45" s="324">
        <f>BL59</f>
        <v>5.2647948575232958E-2</v>
      </c>
      <c r="BZ45" s="324">
        <f>BL12</f>
        <v>5.4681109283555532E-2</v>
      </c>
      <c r="CA45" s="656">
        <f t="shared" si="12"/>
        <v>9.3389233295859075E-2</v>
      </c>
      <c r="CB45" s="593">
        <f t="shared" si="13"/>
        <v>2.2571532690007556E-2</v>
      </c>
      <c r="CC45" s="317"/>
    </row>
    <row r="46" spans="1:81" s="106" customFormat="1">
      <c r="A46" s="699"/>
      <c r="B46" s="107" t="s">
        <v>67</v>
      </c>
      <c r="C46" s="108"/>
      <c r="D46" s="109"/>
      <c r="E46" s="110"/>
      <c r="F46" s="110"/>
      <c r="G46" s="124"/>
      <c r="H46" s="125"/>
      <c r="I46" s="112">
        <f>SUM(I43:I45)</f>
        <v>0</v>
      </c>
      <c r="J46" s="113">
        <f>SUM(J43:J45)</f>
        <v>86989</v>
      </c>
      <c r="K46" s="113">
        <f>SUM(K43:K45)</f>
        <v>374360</v>
      </c>
      <c r="L46" s="114">
        <f>SUM(L43:L45)</f>
        <v>461349</v>
      </c>
      <c r="M46" s="562"/>
      <c r="N46" s="112">
        <f>I46</f>
        <v>0</v>
      </c>
      <c r="O46" s="113">
        <f>SUM(O43:O45)</f>
        <v>86989</v>
      </c>
      <c r="P46" s="113">
        <f>SUM(P43:P45)</f>
        <v>374360</v>
      </c>
      <c r="Q46" s="114">
        <f>SUM(Q43:Q45)</f>
        <v>461349</v>
      </c>
      <c r="R46" s="115">
        <f>SUM(R43:R45)</f>
        <v>83.732466973722666</v>
      </c>
      <c r="T46" s="201"/>
      <c r="U46" s="198"/>
      <c r="V46" s="198"/>
      <c r="W46" s="124"/>
      <c r="X46" s="125"/>
      <c r="Y46" s="125"/>
      <c r="Z46" s="125"/>
      <c r="AA46" s="126"/>
      <c r="AB46" s="113"/>
      <c r="AC46" s="113"/>
      <c r="AD46" s="113"/>
      <c r="AE46" s="113"/>
      <c r="AF46" s="567"/>
      <c r="AG46" s="112">
        <f>SUM(AG42:AG45)</f>
        <v>0</v>
      </c>
      <c r="AH46" s="113">
        <f>SUM(AH42:AH45)</f>
        <v>0</v>
      </c>
      <c r="AI46" s="113">
        <f>SUM(AI42:AI45)</f>
        <v>0</v>
      </c>
      <c r="AJ46" s="113">
        <f>SUM(AJ42:AJ45)</f>
        <v>0</v>
      </c>
      <c r="AK46" s="118">
        <f>SUM(AK42:AK45)</f>
        <v>0</v>
      </c>
      <c r="AL46" s="119"/>
      <c r="AM46" s="109"/>
      <c r="AN46" s="110"/>
      <c r="AO46" s="110"/>
      <c r="AP46" s="124"/>
      <c r="AQ46" s="126"/>
      <c r="AR46" s="113"/>
      <c r="AS46" s="113"/>
      <c r="AT46" s="113"/>
      <c r="AU46" s="120"/>
      <c r="AV46" s="113"/>
      <c r="AW46" s="114"/>
      <c r="AX46" s="110"/>
      <c r="AY46" s="127"/>
      <c r="AZ46" s="119"/>
      <c r="BA46" s="119"/>
      <c r="BB46" s="113"/>
      <c r="BC46" s="121"/>
      <c r="BG46" s="144"/>
      <c r="BR46" s="314"/>
      <c r="BS46" s="314"/>
      <c r="BT46" s="314"/>
      <c r="BU46" s="576" t="s">
        <v>240</v>
      </c>
      <c r="BV46" s="630">
        <f>SUM(BV44:BV45)/BV47</f>
        <v>0.55408687328472472</v>
      </c>
      <c r="BW46" s="631">
        <f t="shared" ref="BW46:BZ46" si="14">SUM(BW44:BW45)/BW47</f>
        <v>0.56733942444667895</v>
      </c>
      <c r="BX46" s="328">
        <f t="shared" si="14"/>
        <v>0.58191385258436734</v>
      </c>
      <c r="BY46" s="328">
        <f t="shared" si="14"/>
        <v>0.62375621711606677</v>
      </c>
      <c r="BZ46" s="328">
        <f t="shared" si="14"/>
        <v>0.62102067925417292</v>
      </c>
      <c r="CA46" s="656">
        <f t="shared" ref="CA46" si="15">(BZ46-BV46)/BV46</f>
        <v>0.12080020155080158</v>
      </c>
      <c r="CB46" s="593">
        <f t="shared" si="13"/>
        <v>2.8921044890759529E-2</v>
      </c>
      <c r="CC46" s="317"/>
    </row>
    <row r="47" spans="1:81" s="106" customFormat="1" ht="13.5" thickBot="1">
      <c r="A47" s="699"/>
      <c r="B47" s="131" t="s">
        <v>37</v>
      </c>
      <c r="C47" s="129" t="s">
        <v>1</v>
      </c>
      <c r="D47" s="109"/>
      <c r="E47" s="110"/>
      <c r="F47" s="110"/>
      <c r="G47" s="111"/>
      <c r="H47" s="130">
        <f>'[2]Fly ash'!$E$264</f>
        <v>904954.81900283624</v>
      </c>
      <c r="I47" s="112"/>
      <c r="J47" s="113"/>
      <c r="K47" s="113"/>
      <c r="L47" s="114"/>
      <c r="M47" s="562"/>
      <c r="N47" s="127"/>
      <c r="O47" s="119"/>
      <c r="P47" s="119"/>
      <c r="Q47" s="113">
        <f>H47</f>
        <v>904954.81900283624</v>
      </c>
      <c r="R47" s="115">
        <f>Q47/[2]Popn!$H$43*1000</f>
        <v>164.24463799610746</v>
      </c>
      <c r="T47" s="201"/>
      <c r="U47" s="198"/>
      <c r="V47" s="198"/>
      <c r="W47" s="203"/>
      <c r="X47" s="130"/>
      <c r="Y47" s="130"/>
      <c r="Z47" s="130"/>
      <c r="AA47" s="117">
        <f>'[2]Fly ash'!$E$256</f>
        <v>1598381.4808180325</v>
      </c>
      <c r="AB47" s="113"/>
      <c r="AC47" s="113"/>
      <c r="AD47" s="113"/>
      <c r="AE47" s="113"/>
      <c r="AF47" s="567"/>
      <c r="AG47" s="112"/>
      <c r="AH47" s="113"/>
      <c r="AI47" s="113"/>
      <c r="AJ47" s="113">
        <f>AA47</f>
        <v>1598381.4808180325</v>
      </c>
      <c r="AK47" s="115">
        <f>AJ47/[2]Popn!$H$43*1000</f>
        <v>290.09800509810543</v>
      </c>
      <c r="AL47" s="119"/>
      <c r="AM47" s="109"/>
      <c r="AN47" s="110"/>
      <c r="AO47" s="110"/>
      <c r="AP47" s="111"/>
      <c r="AQ47" s="117"/>
      <c r="AR47" s="113"/>
      <c r="AS47" s="113"/>
      <c r="AT47" s="113"/>
      <c r="AU47" s="120"/>
      <c r="AV47" s="113"/>
      <c r="AW47" s="114"/>
      <c r="AX47" s="110"/>
      <c r="AY47" s="127"/>
      <c r="AZ47" s="119"/>
      <c r="BA47" s="119"/>
      <c r="BB47" s="119"/>
      <c r="BC47" s="121"/>
      <c r="BG47" s="144"/>
      <c r="BR47" s="314"/>
      <c r="BS47" s="314"/>
      <c r="BT47" s="314"/>
      <c r="BU47" s="576" t="s">
        <v>191</v>
      </c>
      <c r="BV47" s="577">
        <f>SUM(BV43:BV45)</f>
        <v>2.130116868618412</v>
      </c>
      <c r="BW47" s="578">
        <f>SUM(BW43:BW45)</f>
        <v>2.0335177973667697</v>
      </c>
      <c r="BX47" s="579">
        <f>SUM(BX43:BX45)</f>
        <v>1.9369187261151273</v>
      </c>
      <c r="BY47" s="579">
        <f>SUM(BY43:BY45)</f>
        <v>2.1394137756577529</v>
      </c>
      <c r="BZ47" s="579">
        <f>SUM(BZ43:BZ45)</f>
        <v>2.1831062990827297</v>
      </c>
      <c r="CA47" s="657">
        <f t="shared" si="12"/>
        <v>2.4876301974307402E-2</v>
      </c>
      <c r="CB47" s="652">
        <f t="shared" si="13"/>
        <v>6.1618878799289956E-3</v>
      </c>
      <c r="CC47" s="317"/>
    </row>
    <row r="48" spans="1:81" ht="13.5" thickBot="1">
      <c r="B48" s="19"/>
      <c r="C48" s="194"/>
      <c r="D48" s="23"/>
      <c r="E48" s="19"/>
      <c r="F48" s="19"/>
      <c r="G48" s="195"/>
      <c r="H48" s="19"/>
      <c r="I48" s="20"/>
      <c r="J48" s="21"/>
      <c r="K48" s="21"/>
      <c r="L48" s="22"/>
      <c r="M48" s="212"/>
      <c r="N48" s="23"/>
      <c r="O48" s="19"/>
      <c r="P48" s="19"/>
      <c r="Q48" s="19"/>
      <c r="R48" s="24"/>
      <c r="T48" s="201"/>
      <c r="U48" s="198"/>
      <c r="V48" s="198"/>
      <c r="W48" s="199"/>
      <c r="X48" s="198"/>
      <c r="Y48" s="198"/>
      <c r="Z48" s="198"/>
      <c r="AA48" s="70"/>
      <c r="AB48" s="21"/>
      <c r="AC48" s="21"/>
      <c r="AD48" s="21"/>
      <c r="AE48" s="21"/>
      <c r="AF48" s="355"/>
      <c r="AG48" s="20"/>
      <c r="AH48" s="21"/>
      <c r="AI48" s="21"/>
      <c r="AJ48" s="21"/>
      <c r="AK48" s="29"/>
      <c r="AL48" s="19"/>
      <c r="AM48" s="57"/>
      <c r="AN48" s="2"/>
      <c r="AO48" s="2"/>
      <c r="AP48" s="63"/>
      <c r="AQ48" s="70"/>
      <c r="AR48" s="21"/>
      <c r="AS48" s="21"/>
      <c r="AT48" s="21"/>
      <c r="AU48" s="25"/>
      <c r="AV48" s="21"/>
      <c r="AW48" s="22"/>
      <c r="AX48" s="2"/>
      <c r="AY48" s="23"/>
      <c r="AZ48" s="113"/>
      <c r="BA48" s="19"/>
      <c r="BB48" s="19"/>
      <c r="BC48" s="24"/>
      <c r="BR48" s="317"/>
      <c r="BS48" s="317"/>
      <c r="BT48" s="317"/>
      <c r="BU48" s="314"/>
      <c r="BV48" s="314"/>
      <c r="BW48" s="314"/>
      <c r="BX48" s="314"/>
      <c r="BY48" s="314"/>
      <c r="BZ48" s="314"/>
      <c r="CA48" s="658"/>
      <c r="CB48" s="653"/>
      <c r="CC48" s="317"/>
    </row>
    <row r="49" spans="1:81" ht="14.25" customHeight="1" thickBot="1">
      <c r="C49" s="39" t="s">
        <v>38</v>
      </c>
      <c r="D49" s="58"/>
      <c r="E49" s="59"/>
      <c r="F49" s="2"/>
      <c r="G49" s="65"/>
      <c r="H49" s="2"/>
      <c r="I49" s="20"/>
      <c r="J49" s="21"/>
      <c r="K49" s="21"/>
      <c r="L49" s="22"/>
      <c r="M49" s="212" t="s">
        <v>51</v>
      </c>
      <c r="N49" s="23"/>
      <c r="O49" s="19"/>
      <c r="P49" s="19"/>
      <c r="Q49" s="19"/>
      <c r="R49" s="24"/>
      <c r="T49" s="206"/>
      <c r="U49" s="207"/>
      <c r="V49" s="198"/>
      <c r="W49" s="208"/>
      <c r="X49" s="198"/>
      <c r="Y49" s="198"/>
      <c r="Z49" s="198"/>
      <c r="AA49" s="70"/>
      <c r="AB49" s="21"/>
      <c r="AC49" s="21"/>
      <c r="AD49" s="21"/>
      <c r="AE49" s="21"/>
      <c r="AF49" s="355"/>
      <c r="AG49" s="20"/>
      <c r="AH49" s="21"/>
      <c r="AI49" s="21"/>
      <c r="AJ49" s="21"/>
      <c r="AK49" s="40"/>
      <c r="AL49" s="19"/>
      <c r="AM49" s="58"/>
      <c r="AN49" s="59"/>
      <c r="AO49" s="2"/>
      <c r="AP49" s="65"/>
      <c r="AQ49" s="68"/>
      <c r="AR49" s="21"/>
      <c r="AS49" s="21"/>
      <c r="AT49" s="21"/>
      <c r="AU49" s="25"/>
      <c r="AV49" s="21"/>
      <c r="AW49" s="22"/>
      <c r="AX49" s="2" t="s">
        <v>52</v>
      </c>
      <c r="AY49" s="23"/>
      <c r="AZ49" s="19"/>
      <c r="BA49" s="19"/>
      <c r="BB49" s="19"/>
      <c r="BC49" s="24"/>
      <c r="BR49" s="317"/>
      <c r="BS49" s="317"/>
      <c r="BT49" s="317"/>
      <c r="BU49" s="317"/>
      <c r="BV49" s="317"/>
      <c r="BW49" s="317"/>
      <c r="BX49" s="317"/>
      <c r="BY49" s="317"/>
      <c r="BZ49" s="317"/>
      <c r="CA49" s="649"/>
      <c r="CB49" s="654"/>
      <c r="CC49" s="317"/>
    </row>
    <row r="50" spans="1:81" ht="13.5" thickBot="1">
      <c r="C50" s="135" t="s">
        <v>92</v>
      </c>
      <c r="D50" s="134">
        <f>[2]VIC!$B$70</f>
        <v>1865945.30305</v>
      </c>
      <c r="E50" s="706">
        <f>[2]VIC!$C$70</f>
        <v>2531171.9632000001</v>
      </c>
      <c r="F50" s="707"/>
      <c r="G50" s="66">
        <f>SUM(D50:F50,G43:G45)</f>
        <v>4858466.2662500003</v>
      </c>
      <c r="H50" s="4"/>
      <c r="I50" s="41">
        <f>SUM(I46,I41,I38,I36,I31,I27,I22,I16,I12)</f>
        <v>1865945.30305</v>
      </c>
      <c r="J50" s="727">
        <f>SUM(J12:K12,J16:K16,J22:K22,J27:K27,J31:K31,J36:K38,J41:K41,J46:K46)</f>
        <v>2992520.9632000001</v>
      </c>
      <c r="K50" s="728"/>
      <c r="L50" s="42">
        <f>SUM(L46,L41,L38,L36,L31,L27,L22,L16,L12)</f>
        <v>4858466.2662500003</v>
      </c>
      <c r="M50" s="563"/>
      <c r="N50" s="44">
        <f>SUM(N46,N41,N38,N37,N27,N22,N16,N12)</f>
        <v>1646784.8177484605</v>
      </c>
      <c r="O50" s="45">
        <f>SUM(O46,O41,O38,O37,O27,O22,O16,O12)</f>
        <v>1526673.3693229309</v>
      </c>
      <c r="P50" s="45">
        <f>SUM(P46,P41,P38,P37,P27,P22,P16,P12)</f>
        <v>1385085.1989400159</v>
      </c>
      <c r="Q50" s="133">
        <f>SUM(Q46,Q41,Q38,Q37,Q27,Q22,Q16,Q12,Q49)</f>
        <v>4558543.3860114068</v>
      </c>
      <c r="R50" s="27">
        <f>SUM(R46,R41,R38,R37,R27,R22,R16,R12)</f>
        <v>827.35214234230932</v>
      </c>
      <c r="T50" s="60"/>
      <c r="U50" s="706"/>
      <c r="V50" s="706"/>
      <c r="W50" s="66"/>
      <c r="X50" s="61"/>
      <c r="Y50" s="61"/>
      <c r="Z50" s="61"/>
      <c r="AA50" s="209"/>
      <c r="AB50" s="45"/>
      <c r="AC50" s="45"/>
      <c r="AD50" s="45"/>
      <c r="AE50" s="45"/>
      <c r="AF50" s="555"/>
      <c r="AG50" s="44">
        <f>SUM(AG46,AG41,AG38,AG37,AG27,AG22,AG16,AG12)</f>
        <v>1543590.132</v>
      </c>
      <c r="AH50" s="45">
        <f>SUM(AH46,AH41,AH38,AH37,AH27,AH22,AH16,AH12)</f>
        <v>2484375.38</v>
      </c>
      <c r="AI50" s="45">
        <f>SUM(AI46,AI41,AI38,AI37,AI27,AI22,AI16,AI12)</f>
        <v>3140684.4879999999</v>
      </c>
      <c r="AJ50" s="354">
        <f>SUM(AJ46,AJ41,AJ38,AJ37,AJ27,AJ22,AJ16,AJ12,AJ49)</f>
        <v>7168650</v>
      </c>
      <c r="AK50" s="27">
        <f>SUM(AK46,AK41,AK38,AK37,AK27,AK22,AK16,AK12,AK49)</f>
        <v>1301.0730474568647</v>
      </c>
      <c r="AL50" s="19"/>
      <c r="AM50" s="60"/>
      <c r="AN50" s="706"/>
      <c r="AO50" s="707"/>
      <c r="AP50" s="66"/>
      <c r="AQ50" s="71"/>
      <c r="AR50" s="43"/>
      <c r="AS50" s="46">
        <f>SUM(AS7:AS49)</f>
        <v>1</v>
      </c>
      <c r="AT50" s="45">
        <f>SUM(AT7:AT49)</f>
        <v>342014.71499051584</v>
      </c>
      <c r="AU50" s="47"/>
      <c r="AV50" s="45"/>
      <c r="AW50" s="48"/>
      <c r="AX50" s="43"/>
      <c r="AY50" s="44">
        <f>SUM(AY46,AY41,AY38,AY37,AY27,AY22,AY16,AY12)</f>
        <v>219160.48530153953</v>
      </c>
      <c r="AZ50" s="45">
        <f>SUM(AZ46,AZ41,AZ38,AZ37,AZ27,AZ22,AZ16,AZ12)</f>
        <v>80377.808597069059</v>
      </c>
      <c r="BA50" s="45">
        <f>SUM(BA46,BA41,BA38,BA37,BA27,BA22,BA16,BA12)</f>
        <v>1743.5863399844081</v>
      </c>
      <c r="BB50" s="354">
        <f>SUM(BB46,BB41,BB38,BB37,BB27,BB22,BB16,BB12,BB49)</f>
        <v>301281.88023859303</v>
      </c>
      <c r="BC50" s="27">
        <f>SUM(BC46,BC41,BC38,BC37,BC27,BC22,BC16,BC12,BC49)</f>
        <v>54.681109283555529</v>
      </c>
      <c r="BR50" s="317"/>
      <c r="BS50" s="317"/>
      <c r="BT50" s="317"/>
      <c r="BU50" s="317"/>
      <c r="BV50" s="317"/>
      <c r="BW50" s="317"/>
      <c r="BX50" s="317"/>
      <c r="BY50" s="317"/>
      <c r="BZ50" s="317"/>
      <c r="CA50" s="649"/>
      <c r="CB50" s="654"/>
      <c r="CC50" s="317"/>
    </row>
    <row r="51" spans="1:81" ht="13.5" thickBot="1">
      <c r="C51" s="136" t="s">
        <v>65</v>
      </c>
      <c r="Q51" s="49">
        <f>Q50+Q47</f>
        <v>5463498.2050142428</v>
      </c>
      <c r="R51" s="216">
        <f>R50+R47</f>
        <v>991.59678033841681</v>
      </c>
      <c r="AJ51" s="353">
        <f>AJ50+AJ47</f>
        <v>8767031.4808180332</v>
      </c>
      <c r="AK51" s="216">
        <f>AK50+AK47</f>
        <v>1591.1710525549702</v>
      </c>
      <c r="BB51" s="353">
        <f>BB50+BB47</f>
        <v>301281.88023859303</v>
      </c>
      <c r="BC51" s="216">
        <f>BC50+BC47</f>
        <v>54.681109283555529</v>
      </c>
      <c r="BR51" s="317"/>
      <c r="BS51" s="317"/>
      <c r="BT51" s="317"/>
      <c r="BU51" s="317"/>
      <c r="BV51" s="317"/>
      <c r="BW51" s="317"/>
      <c r="BX51" s="317"/>
      <c r="BY51" s="317"/>
      <c r="BZ51" s="317"/>
      <c r="CA51" s="649"/>
      <c r="CB51" s="654"/>
      <c r="CC51" s="317"/>
    </row>
    <row r="52" spans="1:81">
      <c r="BR52" s="317"/>
      <c r="BS52" s="317"/>
      <c r="BT52" s="317"/>
      <c r="BU52" s="317"/>
      <c r="BV52" s="317"/>
      <c r="BW52" s="317"/>
      <c r="BX52" s="317"/>
      <c r="BY52" s="317"/>
      <c r="BZ52" s="317"/>
      <c r="CA52" s="649"/>
      <c r="CB52" s="654"/>
      <c r="CC52" s="317"/>
    </row>
    <row r="53" spans="1:81" ht="13.5" thickBot="1">
      <c r="BR53" s="317"/>
      <c r="BS53" s="317"/>
      <c r="BT53" s="317"/>
      <c r="BU53" s="317"/>
      <c r="BV53" s="317"/>
      <c r="BW53" s="317"/>
      <c r="BX53" s="317"/>
      <c r="BY53" s="317"/>
      <c r="BZ53" s="317"/>
      <c r="CA53" s="649"/>
      <c r="CB53" s="654"/>
      <c r="CC53" s="317"/>
    </row>
    <row r="54" spans="1:81">
      <c r="A54" s="699" t="s">
        <v>81</v>
      </c>
      <c r="B54" s="16" t="s">
        <v>3</v>
      </c>
      <c r="C54" s="148" t="s">
        <v>16</v>
      </c>
      <c r="D54" s="55"/>
      <c r="E54" s="56"/>
      <c r="F54" s="56"/>
      <c r="G54" s="149"/>
      <c r="H54" s="150"/>
      <c r="I54" s="151"/>
      <c r="J54" s="26"/>
      <c r="K54" s="26"/>
      <c r="L54" s="133"/>
      <c r="M54" s="561"/>
      <c r="N54" s="16"/>
      <c r="O54" s="18"/>
      <c r="P54" s="18"/>
      <c r="Q54" s="18"/>
      <c r="R54" s="28"/>
      <c r="S54" s="152"/>
      <c r="T54" s="196">
        <f>SUMIF([2]VIC!$D$150:$D$181,$C54,[2]VIC!K$150:K$181)</f>
        <v>12148.15</v>
      </c>
      <c r="U54" s="197">
        <f>SUMIF([2]VIC!$D$150:$D$181,$C54,[2]VIC!L$150:L$181)</f>
        <v>41200.449999999997</v>
      </c>
      <c r="V54" s="197">
        <f>SUMIF([2]VIC!$D$150:$D$181,$C54,[2]VIC!M$150:M$181)</f>
        <v>142956.4</v>
      </c>
      <c r="W54" s="149"/>
      <c r="X54" s="56"/>
      <c r="Y54" s="56"/>
      <c r="Z54" s="56"/>
      <c r="AA54" s="153"/>
      <c r="AB54" s="26"/>
      <c r="AC54" s="26"/>
      <c r="AD54" s="26"/>
      <c r="AE54" s="26"/>
      <c r="AF54" s="566"/>
      <c r="AG54" s="151">
        <f t="shared" ref="AG54:AI58" si="16">T54</f>
        <v>12148.15</v>
      </c>
      <c r="AH54" s="26">
        <f t="shared" si="16"/>
        <v>41200.449999999997</v>
      </c>
      <c r="AI54" s="26">
        <f t="shared" si="16"/>
        <v>142956.4</v>
      </c>
      <c r="AJ54" s="26">
        <f>SUM(AG54:AI54)</f>
        <v>196305</v>
      </c>
      <c r="AK54" s="27">
        <f>AJ54/[2]Popn!$H$42*1000</f>
        <v>36.050542381103384</v>
      </c>
      <c r="AL54" s="18"/>
      <c r="AM54" s="55"/>
      <c r="AN54" s="56"/>
      <c r="AO54" s="56"/>
      <c r="AP54" s="149"/>
      <c r="AQ54" s="153"/>
      <c r="AR54" s="26"/>
      <c r="AS54" s="26"/>
      <c r="AT54" s="26"/>
      <c r="AU54" s="154"/>
      <c r="AV54" s="26"/>
      <c r="AW54" s="133"/>
      <c r="AX54" s="56"/>
      <c r="AY54" s="16"/>
      <c r="AZ54" s="18"/>
      <c r="BA54" s="18"/>
      <c r="BB54" s="18"/>
      <c r="BC54" s="28"/>
      <c r="BD54" s="155"/>
      <c r="BH54" s="700" t="s">
        <v>86</v>
      </c>
      <c r="BI54" s="701"/>
      <c r="BJ54" s="701"/>
      <c r="BK54" s="701"/>
      <c r="BL54" s="702"/>
      <c r="BM54" s="700" t="s">
        <v>87</v>
      </c>
      <c r="BN54" s="702"/>
      <c r="BP54" s="8"/>
      <c r="BQ54" s="8"/>
      <c r="BR54" s="325"/>
      <c r="BS54" s="325"/>
      <c r="BT54" s="325"/>
      <c r="BU54" s="317"/>
      <c r="BV54" s="317"/>
      <c r="BW54" s="317"/>
      <c r="BX54" s="317"/>
      <c r="BY54" s="317"/>
      <c r="BZ54" s="317"/>
      <c r="CA54" s="649"/>
      <c r="CB54" s="654"/>
      <c r="CC54" s="317"/>
    </row>
    <row r="55" spans="1:81">
      <c r="A55" s="699"/>
      <c r="B55" s="23"/>
      <c r="C55" s="17" t="s">
        <v>17</v>
      </c>
      <c r="D55" s="57"/>
      <c r="E55" s="2"/>
      <c r="F55" s="2"/>
      <c r="G55" s="63"/>
      <c r="H55" s="5"/>
      <c r="I55" s="20"/>
      <c r="J55" s="21"/>
      <c r="K55" s="21"/>
      <c r="L55" s="22"/>
      <c r="M55" s="212"/>
      <c r="N55" s="23"/>
      <c r="O55" s="19"/>
      <c r="P55" s="19"/>
      <c r="Q55" s="19"/>
      <c r="R55" s="24"/>
      <c r="T55" s="201">
        <f>SUMIF([2]VIC!$D$150:$D$181,$C55,[2]VIC!K$150:K$181)</f>
        <v>4083</v>
      </c>
      <c r="U55" s="198">
        <f>SUMIF([2]VIC!$D$150:$D$181,$C55,[2]VIC!L$150:L$181)</f>
        <v>44789</v>
      </c>
      <c r="V55" s="198">
        <f>SUMIF([2]VIC!$D$150:$D$181,$C55,[2]VIC!M$150:M$181)</f>
        <v>469494</v>
      </c>
      <c r="W55" s="63"/>
      <c r="X55" s="2"/>
      <c r="Y55" s="2"/>
      <c r="Z55" s="2"/>
      <c r="AA55" s="67"/>
      <c r="AB55" s="21"/>
      <c r="AC55" s="21"/>
      <c r="AD55" s="21"/>
      <c r="AE55" s="21"/>
      <c r="AF55" s="355"/>
      <c r="AG55" s="20">
        <f t="shared" si="16"/>
        <v>4083</v>
      </c>
      <c r="AH55" s="21">
        <f t="shared" si="16"/>
        <v>44789</v>
      </c>
      <c r="AI55" s="21">
        <f t="shared" si="16"/>
        <v>469494</v>
      </c>
      <c r="AJ55" s="21">
        <f>SUM(AG55:AI55)</f>
        <v>518366</v>
      </c>
      <c r="AK55" s="29">
        <f>AJ55/[2]Popn!$H$42*1000</f>
        <v>95.195616270207267</v>
      </c>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6"/>
      <c r="BU55" s="325"/>
      <c r="BV55" s="317"/>
      <c r="BW55" s="317"/>
      <c r="BX55" s="317"/>
      <c r="BY55" s="317"/>
      <c r="BZ55" s="317"/>
      <c r="CA55" s="649"/>
      <c r="CB55" s="654"/>
      <c r="CC55" s="317"/>
    </row>
    <row r="56" spans="1:81">
      <c r="A56" s="699"/>
      <c r="B56" s="23"/>
      <c r="C56" s="17" t="s">
        <v>18</v>
      </c>
      <c r="D56" s="57"/>
      <c r="E56" s="2"/>
      <c r="F56" s="2"/>
      <c r="G56" s="63"/>
      <c r="H56" s="5"/>
      <c r="I56" s="20"/>
      <c r="J56" s="21"/>
      <c r="K56" s="21"/>
      <c r="L56" s="22"/>
      <c r="M56" s="212"/>
      <c r="N56" s="23"/>
      <c r="O56" s="19"/>
      <c r="P56" s="19"/>
      <c r="Q56" s="19"/>
      <c r="R56" s="24"/>
      <c r="T56" s="201">
        <f>SUMIF([2]VIC!$D$150:$D$181,$C56,[2]VIC!K$150:K$181)</f>
        <v>188152</v>
      </c>
      <c r="U56" s="198">
        <f>SUMIF([2]VIC!$D$150:$D$181,$C56,[2]VIC!L$150:L$181)</f>
        <v>164578</v>
      </c>
      <c r="V56" s="198">
        <f>SUMIF([2]VIC!$D$150:$D$181,$C56,[2]VIC!M$150:M$181)</f>
        <v>2086168.24</v>
      </c>
      <c r="W56" s="63"/>
      <c r="X56" s="2"/>
      <c r="Y56" s="2"/>
      <c r="Z56" s="2"/>
      <c r="AA56" s="67"/>
      <c r="AB56" s="21"/>
      <c r="AC56" s="21"/>
      <c r="AD56" s="21"/>
      <c r="AE56" s="21"/>
      <c r="AF56" s="355"/>
      <c r="AG56" s="20">
        <f t="shared" si="16"/>
        <v>188152</v>
      </c>
      <c r="AH56" s="21">
        <f t="shared" si="16"/>
        <v>164578</v>
      </c>
      <c r="AI56" s="21">
        <f t="shared" si="16"/>
        <v>2086168.24</v>
      </c>
      <c r="AJ56" s="21">
        <f>SUM(AG56:AI56)</f>
        <v>2438898.2400000002</v>
      </c>
      <c r="AK56" s="29">
        <f>AJ56/[2]Popn!$H$42*1000</f>
        <v>447.89284207900187</v>
      </c>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8"/>
      <c r="BU56" s="326"/>
      <c r="BV56" s="317"/>
      <c r="BW56" s="317"/>
      <c r="BX56" s="317"/>
      <c r="BY56" s="317"/>
      <c r="BZ56" s="317"/>
      <c r="CA56" s="649"/>
      <c r="CB56" s="654"/>
      <c r="CC56" s="317"/>
    </row>
    <row r="57" spans="1:81">
      <c r="A57" s="699"/>
      <c r="B57" s="23"/>
      <c r="C57" s="17" t="s">
        <v>182</v>
      </c>
      <c r="D57" s="57"/>
      <c r="E57" s="2"/>
      <c r="F57" s="2"/>
      <c r="G57" s="63"/>
      <c r="H57" s="2"/>
      <c r="I57" s="20"/>
      <c r="J57" s="21"/>
      <c r="K57" s="21"/>
      <c r="L57" s="22"/>
      <c r="M57" s="212"/>
      <c r="N57" s="23"/>
      <c r="O57" s="19"/>
      <c r="P57" s="19"/>
      <c r="Q57" s="19"/>
      <c r="R57" s="24"/>
      <c r="T57" s="201">
        <f>SUMIF([2]VIC!$D$150:$D$181,$C57,[2]VIC!K$150:K$181)</f>
        <v>2000</v>
      </c>
      <c r="U57" s="198">
        <f>SUMIF([2]VIC!$D$150:$D$181,$C57,[2]VIC!L$150:L$181)</f>
        <v>14000</v>
      </c>
      <c r="V57" s="198">
        <f>SUMIF([2]VIC!$D$150:$D$181,$C57,[2]VIC!M$150:M$181)</f>
        <v>173930.07</v>
      </c>
      <c r="W57" s="63"/>
      <c r="X57" s="2"/>
      <c r="Y57" s="2"/>
      <c r="Z57" s="2"/>
      <c r="AA57" s="68"/>
      <c r="AB57" s="21"/>
      <c r="AC57" s="21"/>
      <c r="AD57" s="21"/>
      <c r="AE57" s="21"/>
      <c r="AF57" s="355"/>
      <c r="AG57" s="20">
        <f t="shared" si="16"/>
        <v>2000</v>
      </c>
      <c r="AH57" s="21">
        <f t="shared" si="16"/>
        <v>14000</v>
      </c>
      <c r="AI57" s="21">
        <f t="shared" si="16"/>
        <v>173930.07</v>
      </c>
      <c r="AJ57" s="21">
        <f>SUM(AG57:AI57)</f>
        <v>189930.07</v>
      </c>
      <c r="AK57" s="29">
        <f>AJ57/[2]Popn!$H$42*1000</f>
        <v>34.879814767738637</v>
      </c>
      <c r="AL57" s="19"/>
      <c r="AM57" s="57"/>
      <c r="AN57" s="2"/>
      <c r="AO57" s="2"/>
      <c r="AP57" s="63"/>
      <c r="AQ57" s="68"/>
      <c r="AR57" s="21"/>
      <c r="AS57" s="21"/>
      <c r="AT57" s="21"/>
      <c r="AU57" s="25"/>
      <c r="AV57" s="21"/>
      <c r="AW57" s="22"/>
      <c r="AX57" s="2"/>
      <c r="AY57" s="23"/>
      <c r="AZ57" s="19"/>
      <c r="BA57" s="19"/>
      <c r="BB57" s="19"/>
      <c r="BC57" s="24"/>
      <c r="BD57" s="30"/>
      <c r="BG57" s="145" t="s">
        <v>72</v>
      </c>
      <c r="BH57" s="52">
        <f>N97/1000</f>
        <v>1648.9258693586228</v>
      </c>
      <c r="BI57" s="52">
        <f>O97/1000</f>
        <v>1507.7738006543082</v>
      </c>
      <c r="BJ57" s="52">
        <f>P97/1000</f>
        <v>1226.4235370648996</v>
      </c>
      <c r="BK57" s="53">
        <f>Q97/1000</f>
        <v>4383.1232070778296</v>
      </c>
      <c r="BL57" s="54">
        <f>R97/1000</f>
        <v>0.8049411321074712</v>
      </c>
      <c r="BM57" s="51">
        <f>Q98/1000</f>
        <v>5611.1820878809358</v>
      </c>
      <c r="BN57" s="54">
        <f>R98/1000</f>
        <v>1.0304686975229356</v>
      </c>
      <c r="BP57" s="30"/>
      <c r="BQ57" s="30"/>
      <c r="BR57" s="327"/>
      <c r="BS57" s="328"/>
      <c r="BT57" s="328"/>
      <c r="BU57" s="329"/>
      <c r="BV57" s="317"/>
      <c r="BW57" s="317"/>
      <c r="BX57" s="317"/>
      <c r="BY57" s="317"/>
      <c r="BZ57" s="317"/>
      <c r="CA57" s="649"/>
      <c r="CB57" s="654"/>
      <c r="CC57" s="317"/>
    </row>
    <row r="58" spans="1:81">
      <c r="A58" s="699"/>
      <c r="B58" s="23"/>
      <c r="C58" s="17" t="s">
        <v>183</v>
      </c>
      <c r="D58" s="57"/>
      <c r="E58" s="2"/>
      <c r="F58" s="2"/>
      <c r="G58" s="63"/>
      <c r="H58" s="2"/>
      <c r="I58" s="20"/>
      <c r="J58" s="21"/>
      <c r="K58" s="21"/>
      <c r="L58" s="22"/>
      <c r="M58" s="212"/>
      <c r="N58" s="23"/>
      <c r="O58" s="19"/>
      <c r="P58" s="19"/>
      <c r="Q58" s="19"/>
      <c r="R58" s="33"/>
      <c r="T58" s="201">
        <f>SUMIF([2]VIC!$D$150:$D$181,$C58,[2]VIC!K$150:K$181)</f>
        <v>0</v>
      </c>
      <c r="U58" s="198">
        <f>SUMIF([2]VIC!$D$150:$D$181,$C58,[2]VIC!L$150:L$181)</f>
        <v>5</v>
      </c>
      <c r="V58" s="198">
        <f>SUMIF([2]VIC!$D$150:$D$181,$C58,[2]VIC!M$150:M$181)</f>
        <v>27200</v>
      </c>
      <c r="W58" s="63"/>
      <c r="X58" s="2"/>
      <c r="Y58" s="2"/>
      <c r="Z58" s="2"/>
      <c r="AA58" s="68"/>
      <c r="AB58" s="21"/>
      <c r="AC58" s="21"/>
      <c r="AD58" s="21"/>
      <c r="AE58" s="21"/>
      <c r="AF58" s="355"/>
      <c r="AG58" s="20">
        <f t="shared" si="16"/>
        <v>0</v>
      </c>
      <c r="AH58" s="21">
        <f t="shared" si="16"/>
        <v>5</v>
      </c>
      <c r="AI58" s="21">
        <f t="shared" si="16"/>
        <v>27200</v>
      </c>
      <c r="AJ58" s="21">
        <f>SUM(AG58:AI58)</f>
        <v>27205</v>
      </c>
      <c r="AK58" s="29">
        <f>AJ58/[2]Popn!$H$42*1000</f>
        <v>4.9960775603164347</v>
      </c>
      <c r="AL58" s="19"/>
      <c r="AM58" s="57"/>
      <c r="AN58" s="2"/>
      <c r="AO58" s="2"/>
      <c r="AP58" s="63"/>
      <c r="AQ58" s="68"/>
      <c r="AR58" s="21"/>
      <c r="AS58" s="21"/>
      <c r="AT58" s="21"/>
      <c r="AU58" s="25"/>
      <c r="AV58" s="21"/>
      <c r="AW58" s="22"/>
      <c r="AX58" s="2"/>
      <c r="AY58" s="23"/>
      <c r="AZ58" s="19"/>
      <c r="BA58" s="19"/>
      <c r="BB58" s="19"/>
      <c r="BC58" s="24"/>
      <c r="BD58" s="30"/>
      <c r="BG58" s="77" t="s">
        <v>68</v>
      </c>
      <c r="BH58" s="52">
        <f>AG97/1000</f>
        <v>1515.9104209999998</v>
      </c>
      <c r="BI58" s="52">
        <f>AH97/1000</f>
        <v>2398.8436749999996</v>
      </c>
      <c r="BJ58" s="52">
        <f>AI97/1000</f>
        <v>3065.1297039999999</v>
      </c>
      <c r="BK58" s="53">
        <f>AJ97/1000</f>
        <v>6979.8838000000005</v>
      </c>
      <c r="BL58" s="54">
        <f>AK97/1000</f>
        <v>1.2818246949750487</v>
      </c>
      <c r="BM58" s="51">
        <f>AJ98/1000</f>
        <v>8373.2992993282587</v>
      </c>
      <c r="BN58" s="54">
        <f>AK98/1000</f>
        <v>1.5377192698102271</v>
      </c>
      <c r="BR58" s="317"/>
      <c r="BS58" s="317"/>
      <c r="BT58" s="317"/>
      <c r="BU58" s="329"/>
      <c r="BV58" s="317"/>
      <c r="BW58" s="317"/>
      <c r="BX58" s="317"/>
      <c r="BY58" s="317"/>
      <c r="BZ58" s="317"/>
      <c r="CA58" s="649"/>
      <c r="CB58" s="654"/>
      <c r="CC58" s="317"/>
    </row>
    <row r="59" spans="1:81" s="106" customFormat="1">
      <c r="A59" s="699"/>
      <c r="B59" s="107" t="s">
        <v>67</v>
      </c>
      <c r="C59" s="108"/>
      <c r="D59" s="109"/>
      <c r="E59" s="110"/>
      <c r="F59" s="110"/>
      <c r="G59" s="111"/>
      <c r="H59" s="110"/>
      <c r="I59" s="112">
        <f>D97*[2]VIC!D$24/(1-[2]VIC!$D$25)</f>
        <v>33603.548243853591</v>
      </c>
      <c r="J59" s="113">
        <f>E97*[2]VIC!E$31*[2]VIC!E$24/(1-[2]VIC!$E$25)</f>
        <v>179998.11814734174</v>
      </c>
      <c r="K59" s="113">
        <f>E97*[2]VIC!F$31*[2]VIC!F$24/(1-[2]VIC!$F$25)</f>
        <v>790074.04013695871</v>
      </c>
      <c r="L59" s="114">
        <f>SUM(I59:K59)</f>
        <v>1003675.706528154</v>
      </c>
      <c r="M59" s="562"/>
      <c r="N59" s="112">
        <f>I59-AU59</f>
        <v>33603.548243853591</v>
      </c>
      <c r="O59" s="113">
        <f>J59-AV59</f>
        <v>179998.11814734174</v>
      </c>
      <c r="P59" s="113">
        <f>K59-AW59</f>
        <v>790074.04013695871</v>
      </c>
      <c r="Q59" s="113">
        <f>SUM(N59:P59)</f>
        <v>1003675.706528154</v>
      </c>
      <c r="R59" s="115">
        <f>Q59/[2]Popn!$H$42*1000</f>
        <v>184.32059089211737</v>
      </c>
      <c r="T59" s="201"/>
      <c r="U59" s="198"/>
      <c r="V59" s="198"/>
      <c r="W59" s="111"/>
      <c r="X59" s="110"/>
      <c r="Y59" s="110"/>
      <c r="Z59" s="110"/>
      <c r="AA59" s="116"/>
      <c r="AB59" s="113"/>
      <c r="AC59" s="113"/>
      <c r="AD59" s="113"/>
      <c r="AE59" s="113"/>
      <c r="AF59" s="567"/>
      <c r="AG59" s="112">
        <f>SUM(AG54:AG58)</f>
        <v>206383.15</v>
      </c>
      <c r="AH59" s="113">
        <f>SUM(AH54:AH58)</f>
        <v>264572.45</v>
      </c>
      <c r="AI59" s="113">
        <f>SUM(AI54:AI58)</f>
        <v>2899748.71</v>
      </c>
      <c r="AJ59" s="113">
        <f>SUM(AJ54:AJ58)</f>
        <v>3370704.31</v>
      </c>
      <c r="AK59" s="118">
        <f>SUM(AK54:AK58)</f>
        <v>619.01489305836753</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222.53327899137699</v>
      </c>
      <c r="BI59" s="52">
        <f>AZ97/1000</f>
        <v>63.060242825691617</v>
      </c>
      <c r="BJ59" s="52">
        <f>BA97/1000</f>
        <v>1.0888652551002156</v>
      </c>
      <c r="BK59" s="53">
        <f>BB97/1000</f>
        <v>286.68238707216881</v>
      </c>
      <c r="BL59" s="54">
        <f>BC97/1000</f>
        <v>5.2647948575232958E-2</v>
      </c>
      <c r="BM59" s="51">
        <f>BB98/1000</f>
        <v>286.68238707216881</v>
      </c>
      <c r="BN59" s="54">
        <f>BC98/1000</f>
        <v>5.2647948575232958E-2</v>
      </c>
      <c r="BO59" s="6"/>
      <c r="BR59" s="314"/>
      <c r="BS59" s="314"/>
      <c r="BT59" s="314"/>
      <c r="BU59" s="317"/>
      <c r="BV59" s="317"/>
      <c r="BW59" s="317"/>
      <c r="BX59" s="317"/>
      <c r="BY59" s="317"/>
      <c r="BZ59" s="317"/>
      <c r="CA59" s="649"/>
      <c r="CB59" s="654"/>
      <c r="CC59" s="314"/>
    </row>
    <row r="60" spans="1:81">
      <c r="A60" s="699"/>
      <c r="B60" s="23" t="s">
        <v>4</v>
      </c>
      <c r="C60" s="17" t="s">
        <v>19</v>
      </c>
      <c r="D60" s="57"/>
      <c r="E60" s="2"/>
      <c r="F60" s="2"/>
      <c r="G60" s="63"/>
      <c r="H60" s="2"/>
      <c r="I60" s="20"/>
      <c r="J60" s="21"/>
      <c r="K60" s="21"/>
      <c r="L60" s="22"/>
      <c r="M60" s="212"/>
      <c r="N60" s="23"/>
      <c r="O60" s="19"/>
      <c r="P60" s="19"/>
      <c r="Q60" s="19"/>
      <c r="R60" s="33"/>
      <c r="T60" s="201">
        <f>SUMIF([2]VIC!$D$150:$D$181,$C60,[2]VIC!K$150:K$181)</f>
        <v>308810.51</v>
      </c>
      <c r="U60" s="198">
        <f>SUMIF([2]VIC!$D$150:$D$181,$C60,[2]VIC!L$150:L$181)</f>
        <v>801618.7699999999</v>
      </c>
      <c r="V60" s="198">
        <f>SUMIF([2]VIC!$D$150:$D$181,$C60,[2]VIC!M$150:M$181)</f>
        <v>70894.75</v>
      </c>
      <c r="W60" s="63"/>
      <c r="X60" s="2"/>
      <c r="Y60" s="2"/>
      <c r="Z60" s="2"/>
      <c r="AA60" s="68"/>
      <c r="AB60" s="21"/>
      <c r="AC60" s="21"/>
      <c r="AD60" s="21"/>
      <c r="AE60" s="21"/>
      <c r="AF60" s="355"/>
      <c r="AG60" s="20">
        <f t="shared" ref="AG60:AI62" si="17">T60</f>
        <v>308810.51</v>
      </c>
      <c r="AH60" s="21">
        <f t="shared" si="17"/>
        <v>801618.7699999999</v>
      </c>
      <c r="AI60" s="21">
        <f t="shared" si="17"/>
        <v>70894.75</v>
      </c>
      <c r="AJ60" s="21">
        <f>SUM(AG60:AI60)</f>
        <v>1181324.0299999998</v>
      </c>
      <c r="AK60" s="29">
        <f>AJ60/[2]Popn!$H$42*1000</f>
        <v>216.94491739553672</v>
      </c>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18">SUM(BH58:BH59)/BH61</f>
        <v>0.51321347269615047</v>
      </c>
      <c r="BI60" s="86">
        <f t="shared" si="18"/>
        <v>0.62017727695243763</v>
      </c>
      <c r="BJ60" s="86">
        <f t="shared" si="18"/>
        <v>0.71429634553990595</v>
      </c>
      <c r="BK60" s="87">
        <f t="shared" si="18"/>
        <v>0.62375621711606688</v>
      </c>
      <c r="BL60" s="87">
        <f t="shared" si="18"/>
        <v>0.62375621711606677</v>
      </c>
      <c r="BM60" s="88">
        <f t="shared" si="18"/>
        <v>0.60681678266540029</v>
      </c>
      <c r="BN60" s="87">
        <f t="shared" si="18"/>
        <v>0.60681678266540018</v>
      </c>
      <c r="BR60" s="317"/>
      <c r="BS60" s="317"/>
      <c r="BT60" s="317"/>
      <c r="BU60" s="314"/>
      <c r="BV60" s="314"/>
      <c r="BW60" s="314"/>
      <c r="BX60" s="314"/>
      <c r="BY60" s="314"/>
      <c r="BZ60" s="314"/>
      <c r="CA60" s="658"/>
      <c r="CB60" s="653"/>
      <c r="CC60" s="317"/>
    </row>
    <row r="61" spans="1:81">
      <c r="A61" s="699"/>
      <c r="B61" s="23"/>
      <c r="C61" s="17" t="s">
        <v>20</v>
      </c>
      <c r="D61" s="57"/>
      <c r="E61" s="2"/>
      <c r="F61" s="2"/>
      <c r="G61" s="63"/>
      <c r="H61" s="2"/>
      <c r="I61" s="20"/>
      <c r="J61" s="21"/>
      <c r="K61" s="21"/>
      <c r="L61" s="22"/>
      <c r="M61" s="212"/>
      <c r="N61" s="23"/>
      <c r="O61" s="19"/>
      <c r="P61" s="19"/>
      <c r="Q61" s="19"/>
      <c r="R61" s="33"/>
      <c r="T61" s="201">
        <f>SUMIF([2]VIC!$D$150:$D$181,$C61,[2]VIC!K$150:K$181)</f>
        <v>5460.05</v>
      </c>
      <c r="U61" s="198">
        <f>SUMIF([2]VIC!$D$150:$D$181,$C61,[2]VIC!L$150:L$181)</f>
        <v>60699.31</v>
      </c>
      <c r="V61" s="198">
        <f>SUMIF([2]VIC!$D$150:$D$181,$C61,[2]VIC!M$150:M$181)</f>
        <v>0</v>
      </c>
      <c r="W61" s="63"/>
      <c r="X61" s="2"/>
      <c r="Y61" s="2"/>
      <c r="Z61" s="2"/>
      <c r="AA61" s="68"/>
      <c r="AB61" s="21"/>
      <c r="AC61" s="21"/>
      <c r="AD61" s="21"/>
      <c r="AE61" s="21"/>
      <c r="AF61" s="355"/>
      <c r="AG61" s="20">
        <f t="shared" si="17"/>
        <v>5460.05</v>
      </c>
      <c r="AH61" s="21">
        <f t="shared" si="17"/>
        <v>60699.31</v>
      </c>
      <c r="AI61" s="21">
        <f t="shared" si="17"/>
        <v>0</v>
      </c>
      <c r="AJ61" s="21">
        <f>SUM(AG61:AI61)</f>
        <v>66159.360000000001</v>
      </c>
      <c r="AK61" s="29">
        <f>AJ61/[2]Popn!$H$42*1000</f>
        <v>12.149872960885745</v>
      </c>
      <c r="AL61" s="19"/>
      <c r="AM61" s="57"/>
      <c r="AN61" s="2"/>
      <c r="AO61" s="2"/>
      <c r="AP61" s="63"/>
      <c r="AQ61" s="68"/>
      <c r="AR61" s="21"/>
      <c r="AS61" s="21"/>
      <c r="AT61" s="21"/>
      <c r="AU61" s="25"/>
      <c r="AV61" s="21"/>
      <c r="AW61" s="22"/>
      <c r="AX61" s="2"/>
      <c r="AY61" s="23"/>
      <c r="AZ61" s="19"/>
      <c r="BA61" s="19"/>
      <c r="BB61" s="19"/>
      <c r="BC61" s="24"/>
      <c r="BD61" s="30"/>
      <c r="BG61" s="77" t="s">
        <v>78</v>
      </c>
      <c r="BH61" s="52">
        <f t="shared" ref="BH61:BN61" si="19">SUM(BH57:BH59)</f>
        <v>3387.3695693499994</v>
      </c>
      <c r="BI61" s="52">
        <f t="shared" si="19"/>
        <v>3969.6777184799994</v>
      </c>
      <c r="BJ61" s="52">
        <f t="shared" si="19"/>
        <v>4292.6421063199996</v>
      </c>
      <c r="BK61" s="74">
        <f t="shared" si="19"/>
        <v>11649.68939415</v>
      </c>
      <c r="BL61" s="76">
        <f t="shared" si="19"/>
        <v>2.1394137756577529</v>
      </c>
      <c r="BM61" s="81">
        <f t="shared" si="19"/>
        <v>14271.163774281364</v>
      </c>
      <c r="BN61" s="76">
        <f t="shared" si="19"/>
        <v>2.6208359159083958</v>
      </c>
      <c r="BR61" s="317"/>
      <c r="BS61" s="317"/>
      <c r="BT61" s="317"/>
      <c r="BU61" s="317"/>
      <c r="BV61" s="317"/>
      <c r="BW61" s="317"/>
      <c r="BX61" s="317"/>
      <c r="BY61" s="317"/>
      <c r="BZ61" s="317"/>
      <c r="CA61" s="649"/>
      <c r="CB61" s="654"/>
      <c r="CC61" s="317"/>
    </row>
    <row r="62" spans="1:81">
      <c r="A62" s="699"/>
      <c r="B62" s="23"/>
      <c r="C62" s="17" t="s">
        <v>21</v>
      </c>
      <c r="D62" s="57"/>
      <c r="E62" s="2"/>
      <c r="F62" s="2"/>
      <c r="G62" s="63"/>
      <c r="H62" s="2"/>
      <c r="I62" s="20"/>
      <c r="J62" s="21"/>
      <c r="K62" s="21"/>
      <c r="L62" s="22"/>
      <c r="M62" s="212"/>
      <c r="N62" s="23"/>
      <c r="O62" s="19"/>
      <c r="P62" s="19"/>
      <c r="Q62" s="19"/>
      <c r="R62" s="33"/>
      <c r="T62" s="201">
        <f>SUMIF([2]VIC!$D$150:$D$181,$C62,[2]VIC!K$150:K$181)</f>
        <v>15657.66</v>
      </c>
      <c r="U62" s="198">
        <f>SUMIF([2]VIC!$D$150:$D$181,$C62,[2]VIC!L$150:L$181)</f>
        <v>82029.290000000008</v>
      </c>
      <c r="V62" s="198">
        <f>SUMIF([2]VIC!$D$150:$D$181,$C62,[2]VIC!M$150:M$181)</f>
        <v>14322.86</v>
      </c>
      <c r="W62" s="63"/>
      <c r="X62" s="2"/>
      <c r="Y62" s="2"/>
      <c r="Z62" s="2"/>
      <c r="AA62" s="68"/>
      <c r="AB62" s="21"/>
      <c r="AC62" s="21"/>
      <c r="AD62" s="21"/>
      <c r="AE62" s="21"/>
      <c r="AF62" s="355"/>
      <c r="AG62" s="20">
        <f t="shared" si="17"/>
        <v>15657.66</v>
      </c>
      <c r="AH62" s="21">
        <f t="shared" si="17"/>
        <v>82029.290000000008</v>
      </c>
      <c r="AI62" s="21">
        <f t="shared" si="17"/>
        <v>14322.86</v>
      </c>
      <c r="AJ62" s="21">
        <f>SUM(AG62:AI62)</f>
        <v>112009.81000000001</v>
      </c>
      <c r="AK62" s="29">
        <f>AJ62/[2]Popn!$H$42*1000</f>
        <v>20.570104696794978</v>
      </c>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649"/>
      <c r="CB62" s="654"/>
      <c r="CC62" s="317"/>
    </row>
    <row r="63" spans="1:81" s="106" customFormat="1">
      <c r="A63" s="699"/>
      <c r="B63" s="107" t="s">
        <v>67</v>
      </c>
      <c r="C63" s="108"/>
      <c r="D63" s="109"/>
      <c r="E63" s="110"/>
      <c r="F63" s="110"/>
      <c r="G63" s="111"/>
      <c r="H63" s="110"/>
      <c r="I63" s="112">
        <f>D97*[2]VIC!D$22/(1-[2]VIC!$D$25)</f>
        <v>43943.101549654697</v>
      </c>
      <c r="J63" s="113">
        <f>E97*[2]VIC!E$31*[2]VIC!E$22/(1-[2]VIC!$E$25)</f>
        <v>34137.574131392394</v>
      </c>
      <c r="K63" s="113">
        <f>E97*[2]VIC!F$31*[2]VIC!F$22/(1-[2]VIC!$F$25)</f>
        <v>6913.1478511983878</v>
      </c>
      <c r="L63" s="114">
        <f>SUM(I63:K63)</f>
        <v>84993.823532245471</v>
      </c>
      <c r="M63" s="562"/>
      <c r="N63" s="112">
        <f t="shared" ref="N63:P67" si="20">I63-AU63</f>
        <v>43943.101549654697</v>
      </c>
      <c r="O63" s="113">
        <f t="shared" si="20"/>
        <v>34137.574131392394</v>
      </c>
      <c r="P63" s="113">
        <f t="shared" si="20"/>
        <v>6913.1478511983878</v>
      </c>
      <c r="Q63" s="113">
        <f>SUM(N63:P63)</f>
        <v>84993.823532245471</v>
      </c>
      <c r="R63" s="115">
        <f>Q63/[2]Popn!$H$42*1000</f>
        <v>15.608738633153704</v>
      </c>
      <c r="T63" s="201"/>
      <c r="U63" s="198"/>
      <c r="V63" s="198"/>
      <c r="W63" s="111"/>
      <c r="X63" s="110"/>
      <c r="Y63" s="110"/>
      <c r="Z63" s="110"/>
      <c r="AA63" s="116"/>
      <c r="AB63" s="113"/>
      <c r="AC63" s="113"/>
      <c r="AD63" s="113"/>
      <c r="AE63" s="113"/>
      <c r="AF63" s="567"/>
      <c r="AG63" s="112">
        <f>SUM(AG60:AG62)</f>
        <v>329928.21999999997</v>
      </c>
      <c r="AH63" s="113">
        <f>SUM(AH60:AH62)</f>
        <v>944347.36999999988</v>
      </c>
      <c r="AI63" s="113">
        <f>SUM(AI60:AI62)</f>
        <v>85217.61</v>
      </c>
      <c r="AJ63" s="113">
        <f>SUM(AJ60:AJ62)</f>
        <v>1359493.2</v>
      </c>
      <c r="AK63" s="118">
        <f>SUM(AK60:AK62)</f>
        <v>249.66489505321744</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4"/>
      <c r="BU63" s="317"/>
      <c r="BV63" s="317"/>
      <c r="BW63" s="317"/>
      <c r="BX63" s="317"/>
      <c r="BY63" s="317"/>
      <c r="BZ63" s="317"/>
      <c r="CA63" s="649"/>
      <c r="CB63" s="654"/>
      <c r="CC63" s="314"/>
    </row>
    <row r="64" spans="1:81">
      <c r="A64" s="699"/>
      <c r="B64" s="23" t="s">
        <v>2</v>
      </c>
      <c r="C64" s="17" t="s">
        <v>22</v>
      </c>
      <c r="D64" s="57"/>
      <c r="E64" s="2"/>
      <c r="F64" s="2"/>
      <c r="G64" s="63"/>
      <c r="H64" s="2"/>
      <c r="I64" s="20">
        <f>D97*[2]VIC!D$14/(1-[2]VIC!$D$25)</f>
        <v>930559.79752209934</v>
      </c>
      <c r="J64" s="21">
        <f>E97*[2]VIC!E$31*[2]VIC!E$14/(1-[2]VIC!$E$25)</f>
        <v>265342.05347582273</v>
      </c>
      <c r="K64" s="21">
        <f>E97*[2]VIC!F$31*[2]VIC!F$14/(1-[2]VIC!$F$25)</f>
        <v>0</v>
      </c>
      <c r="L64" s="22">
        <f>SUM(I64:K64)</f>
        <v>1195901.850997922</v>
      </c>
      <c r="M64" s="212"/>
      <c r="N64" s="20">
        <f t="shared" si="20"/>
        <v>764311.30805376498</v>
      </c>
      <c r="O64" s="21">
        <f t="shared" si="20"/>
        <v>228455.48494515975</v>
      </c>
      <c r="P64" s="21">
        <f t="shared" si="20"/>
        <v>0</v>
      </c>
      <c r="Q64" s="21">
        <f>SUM(N64:P64)</f>
        <v>992766.79299892474</v>
      </c>
      <c r="R64" s="34">
        <f>Q64/[2]Popn!$H$42*1000</f>
        <v>182.31721731774448</v>
      </c>
      <c r="T64" s="201">
        <f>SUMIF([2]VIC!$D$150:$D$181,$C64,[2]VIC!K$150:K$181)</f>
        <v>0</v>
      </c>
      <c r="U64" s="198">
        <f>SUMIF([2]VIC!$D$150:$D$181,$C64,[2]VIC!L$150:L$181)</f>
        <v>31971</v>
      </c>
      <c r="V64" s="198">
        <f>SUMIF([2]VIC!$D$150:$D$181,$C64,[2]VIC!M$150:M$181)</f>
        <v>0</v>
      </c>
      <c r="W64" s="63"/>
      <c r="X64" s="2"/>
      <c r="Y64" s="2"/>
      <c r="Z64" s="2"/>
      <c r="AA64" s="68"/>
      <c r="AB64" s="21"/>
      <c r="AC64" s="21"/>
      <c r="AD64" s="21"/>
      <c r="AE64" s="21"/>
      <c r="AF64" s="355"/>
      <c r="AG64" s="20">
        <f t="shared" ref="AG64:AI67" si="21">T64</f>
        <v>0</v>
      </c>
      <c r="AH64" s="21">
        <f t="shared" si="21"/>
        <v>31971</v>
      </c>
      <c r="AI64" s="21">
        <f t="shared" si="21"/>
        <v>0</v>
      </c>
      <c r="AJ64" s="21">
        <f>SUM(AG64:AI64)</f>
        <v>31971</v>
      </c>
      <c r="AK64" s="29">
        <f>AJ64/[2]Popn!$H$42*1000</f>
        <v>5.8713323168857459</v>
      </c>
      <c r="AL64" s="19"/>
      <c r="AM64" s="57"/>
      <c r="AN64" s="2"/>
      <c r="AO64" s="2"/>
      <c r="AP64" s="63"/>
      <c r="AQ64" s="70"/>
      <c r="AR64" s="21">
        <f>L64*'[2]Lfill en &amp; composn'!$D$16</f>
        <v>150683.63322573819</v>
      </c>
      <c r="AS64" s="35">
        <f>AR64/SUM($AR$54:$AR$96)</f>
        <v>0.42182576634131369</v>
      </c>
      <c r="AT64" s="21">
        <f>AS64*'[2]Lfill en &amp; composn'!$H$63/'[2]Lfill en &amp; composn'!$B$16</f>
        <v>213652.98265646174</v>
      </c>
      <c r="AU64" s="25">
        <f t="shared" ref="AU64:AW68" si="22">AT64*I64/$L64</f>
        <v>166248.48946833439</v>
      </c>
      <c r="AV64" s="21">
        <f t="shared" si="22"/>
        <v>36886.56853066296</v>
      </c>
      <c r="AW64" s="22">
        <f t="shared" si="22"/>
        <v>0</v>
      </c>
      <c r="AX64" s="82"/>
      <c r="AY64" s="20">
        <f>AU64</f>
        <v>166248.48946833439</v>
      </c>
      <c r="AZ64" s="21">
        <f>AN64+AQ64+AV64</f>
        <v>36886.56853066296</v>
      </c>
      <c r="BA64" s="21">
        <f>AW64</f>
        <v>0</v>
      </c>
      <c r="BB64" s="21">
        <f>SUM(AY64:BA64)</f>
        <v>203135.05799899733</v>
      </c>
      <c r="BC64" s="29">
        <f>BB64/[2]Popn!$H$42*1000</f>
        <v>37.30485223239728</v>
      </c>
      <c r="BD64" s="30"/>
      <c r="BR64" s="317"/>
      <c r="BS64" s="317"/>
      <c r="BT64" s="317"/>
      <c r="BU64" s="316" t="s">
        <v>108</v>
      </c>
      <c r="BV64" s="314"/>
      <c r="BW64" s="310" t="s">
        <v>107</v>
      </c>
      <c r="BX64" s="314"/>
      <c r="BY64" s="314"/>
      <c r="BZ64" s="314"/>
      <c r="CA64" s="658"/>
      <c r="CB64" s="653"/>
      <c r="CC64" s="317"/>
    </row>
    <row r="65" spans="1:81" ht="38.25">
      <c r="A65" s="699"/>
      <c r="B65" s="23"/>
      <c r="C65" s="17" t="s">
        <v>23</v>
      </c>
      <c r="D65" s="57"/>
      <c r="E65" s="2"/>
      <c r="F65" s="2"/>
      <c r="G65" s="63"/>
      <c r="H65" s="2"/>
      <c r="I65" s="20">
        <f>D97*[2]VIC!D$15/(1-[2]VIC!$D$25)</f>
        <v>191281.73615732044</v>
      </c>
      <c r="J65" s="21">
        <f>E97*[2]VIC!E$31*[2]VIC!E$15/(1-[2]VIC!$E$25)</f>
        <v>108619.55405443037</v>
      </c>
      <c r="K65" s="21">
        <f>E97*[2]VIC!F$31*[2]VIC!F$15/(1-[2]VIC!$F$25)</f>
        <v>26664.99885462235</v>
      </c>
      <c r="L65" s="22">
        <f>SUM(I65:K65)</f>
        <v>326566.28906637314</v>
      </c>
      <c r="M65" s="212"/>
      <c r="N65" s="20">
        <f t="shared" si="20"/>
        <v>172160.9608143685</v>
      </c>
      <c r="O65" s="21">
        <f t="shared" si="20"/>
        <v>102259.77302233409</v>
      </c>
      <c r="P65" s="21">
        <f t="shared" si="20"/>
        <v>26145.705958771643</v>
      </c>
      <c r="Q65" s="21">
        <f>SUM(N65:P65)</f>
        <v>300566.43979547423</v>
      </c>
      <c r="R65" s="34">
        <f>Q65/[2]Popn!$H$42*1000</f>
        <v>55.197693263972404</v>
      </c>
      <c r="T65" s="201">
        <f>SUMIF([2]VIC!$D$150:$D$181,$C65,[2]VIC!K$150:K$181)</f>
        <v>340432.41</v>
      </c>
      <c r="U65" s="198">
        <f>SUMIF([2]VIC!$D$150:$D$181,$C65,[2]VIC!L$150:L$181)</f>
        <v>43673.29</v>
      </c>
      <c r="V65" s="198">
        <f>SUMIF([2]VIC!$D$150:$D$181,$C65,[2]VIC!M$150:M$181)</f>
        <v>12.3</v>
      </c>
      <c r="W65" s="63"/>
      <c r="X65" s="2"/>
      <c r="Y65" s="2"/>
      <c r="Z65" s="2"/>
      <c r="AA65" s="68"/>
      <c r="AB65" s="21"/>
      <c r="AC65" s="21"/>
      <c r="AD65" s="21"/>
      <c r="AE65" s="21"/>
      <c r="AF65" s="355"/>
      <c r="AG65" s="20">
        <f t="shared" si="21"/>
        <v>340432.41</v>
      </c>
      <c r="AH65" s="21">
        <f t="shared" si="21"/>
        <v>43673.29</v>
      </c>
      <c r="AI65" s="21">
        <f t="shared" si="21"/>
        <v>12.3</v>
      </c>
      <c r="AJ65" s="21">
        <f>SUM(AG65:AI65)</f>
        <v>384117.99999999994</v>
      </c>
      <c r="AK65" s="29">
        <f>AJ65/[2]Popn!$H$42*1000</f>
        <v>70.541566635310701</v>
      </c>
      <c r="AL65" s="19"/>
      <c r="AM65" s="57"/>
      <c r="AN65" s="2"/>
      <c r="AO65" s="2"/>
      <c r="AP65" s="63"/>
      <c r="AQ65" s="68"/>
      <c r="AR65" s="21">
        <f>L65*'[2]Lfill en &amp; composn'!$D$18</f>
        <v>30697.231172239073</v>
      </c>
      <c r="AS65" s="35">
        <f t="shared" ref="AS65:AS66" si="23">AR65/SUM($AR$54:$AR$96)</f>
        <v>8.5934237093869187E-2</v>
      </c>
      <c r="AT65" s="21">
        <f>AS65*'[2]Lfill en &amp; composn'!$H$63/'[2]Lfill en &amp; composn'!$B$18</f>
        <v>32643.998184353881</v>
      </c>
      <c r="AU65" s="25">
        <f t="shared" si="22"/>
        <v>19120.775342951951</v>
      </c>
      <c r="AV65" s="21">
        <f t="shared" si="22"/>
        <v>6359.7810320962744</v>
      </c>
      <c r="AW65" s="22">
        <f t="shared" si="22"/>
        <v>519.2928958507074</v>
      </c>
      <c r="AX65" s="2"/>
      <c r="AY65" s="20">
        <f>AU65</f>
        <v>19120.775342951951</v>
      </c>
      <c r="AZ65" s="21">
        <f>AN65+AQ65+AV65</f>
        <v>6359.7810320962744</v>
      </c>
      <c r="BA65" s="21">
        <f>AW65</f>
        <v>519.2928958507074</v>
      </c>
      <c r="BB65" s="21">
        <f>SUM(AY65:BA65)</f>
        <v>25999.849270898932</v>
      </c>
      <c r="BC65" s="29">
        <f>BB65/[2]Popn!$H$42*1000</f>
        <v>4.7747569753334957</v>
      </c>
      <c r="BD65" s="36"/>
      <c r="BR65" s="317"/>
      <c r="BS65" s="317"/>
      <c r="BT65" s="317"/>
      <c r="BU65" s="317"/>
      <c r="BV65" s="318" t="s">
        <v>100</v>
      </c>
      <c r="BW65" s="311" t="s">
        <v>104</v>
      </c>
      <c r="BX65" s="318" t="s">
        <v>101</v>
      </c>
      <c r="BY65" s="319" t="s">
        <v>102</v>
      </c>
      <c r="BZ65" s="318" t="s">
        <v>103</v>
      </c>
      <c r="CA65" s="659" t="s">
        <v>192</v>
      </c>
      <c r="CB65" s="655" t="s">
        <v>258</v>
      </c>
      <c r="CC65" s="317"/>
    </row>
    <row r="66" spans="1:81">
      <c r="A66" s="699"/>
      <c r="B66" s="23"/>
      <c r="C66" s="17" t="s">
        <v>24</v>
      </c>
      <c r="D66" s="57"/>
      <c r="E66" s="2"/>
      <c r="F66" s="2"/>
      <c r="G66" s="63"/>
      <c r="H66" s="2"/>
      <c r="I66" s="20">
        <f>D97*[2]VIC!D$16/(1-[2]VIC!$D$25)</f>
        <v>7754.6649793508286</v>
      </c>
      <c r="J66" s="21">
        <f>E97*[2]VIC!E$31*[2]VIC!E$16/(1-[2]VIC!$E$25)</f>
        <v>201722.02895822781</v>
      </c>
      <c r="K66" s="21">
        <f>E97*[2]VIC!F$31*[2]VIC!F$16/(1-[2]VIC!$F$25)</f>
        <v>116535.92092020139</v>
      </c>
      <c r="L66" s="22">
        <f>SUM(I66:K66)</f>
        <v>326012.61485778005</v>
      </c>
      <c r="M66" s="212"/>
      <c r="N66" s="20">
        <f t="shared" si="20"/>
        <v>7375.3281482226848</v>
      </c>
      <c r="O66" s="21">
        <f t="shared" si="20"/>
        <v>201487.31228854577</v>
      </c>
      <c r="P66" s="21">
        <f t="shared" si="20"/>
        <v>116452.0194942745</v>
      </c>
      <c r="Q66" s="21">
        <f>SUM(N66:P66)</f>
        <v>325314.65993104293</v>
      </c>
      <c r="R66" s="34">
        <f>Q66/[2]Popn!$H$42*1000</f>
        <v>59.742594101211374</v>
      </c>
      <c r="T66" s="201">
        <f>SUMIF([2]VIC!$D$150:$D$181,$C66,[2]VIC!K$150:K$181)</f>
        <v>30499.64</v>
      </c>
      <c r="U66" s="198">
        <f>SUMIF([2]VIC!$D$150:$D$181,$C66,[2]VIC!L$150:L$181)</f>
        <v>201004.05</v>
      </c>
      <c r="V66" s="198">
        <f>SUMIF([2]VIC!$D$150:$D$181,$C66,[2]VIC!M$150:M$181)</f>
        <v>59884.31</v>
      </c>
      <c r="W66" s="63"/>
      <c r="X66" s="2"/>
      <c r="Y66" s="2"/>
      <c r="Z66" s="2"/>
      <c r="AA66" s="68"/>
      <c r="AB66" s="21"/>
      <c r="AC66" s="21"/>
      <c r="AD66" s="21"/>
      <c r="AE66" s="21"/>
      <c r="AF66" s="355"/>
      <c r="AG66" s="20">
        <f t="shared" si="21"/>
        <v>30499.64</v>
      </c>
      <c r="AH66" s="21">
        <f t="shared" si="21"/>
        <v>201004.05</v>
      </c>
      <c r="AI66" s="21">
        <f t="shared" si="21"/>
        <v>59884.31</v>
      </c>
      <c r="AJ66" s="21">
        <f>SUM(AG66:AI66)</f>
        <v>291388</v>
      </c>
      <c r="AK66" s="29">
        <f>AJ66/[2]Popn!$H$42*1000</f>
        <v>53.512113513893958</v>
      </c>
      <c r="AL66" s="19"/>
      <c r="AM66" s="57"/>
      <c r="AN66" s="2"/>
      <c r="AO66" s="2"/>
      <c r="AP66" s="63"/>
      <c r="AQ66" s="70"/>
      <c r="AR66" s="21">
        <f>L66*'[2]Lfill en &amp; composn'!$D$19</f>
        <v>32242.647609434447</v>
      </c>
      <c r="AS66" s="35">
        <f t="shared" si="23"/>
        <v>9.0260496416006711E-2</v>
      </c>
      <c r="AT66" s="21">
        <f>AS66*'[2]Lfill en &amp; composn'!$H$63/'[2]Lfill en &amp; composn'!$B$19</f>
        <v>15947.638299946659</v>
      </c>
      <c r="AU66" s="25">
        <f t="shared" si="22"/>
        <v>379.3368311281439</v>
      </c>
      <c r="AV66" s="21">
        <f t="shared" si="22"/>
        <v>234.71666968204653</v>
      </c>
      <c r="AW66" s="22">
        <f t="shared" si="22"/>
        <v>83.901425926884656</v>
      </c>
      <c r="AX66" s="2"/>
      <c r="AY66" s="20">
        <f>AU66</f>
        <v>379.3368311281439</v>
      </c>
      <c r="AZ66" s="21">
        <f>AN66+AQ66+AV66</f>
        <v>234.71666968204653</v>
      </c>
      <c r="BA66" s="21">
        <f>AW66</f>
        <v>83.901425926884656</v>
      </c>
      <c r="BB66" s="21">
        <f>SUM(AY66:BA66)</f>
        <v>697.95492673707508</v>
      </c>
      <c r="BC66" s="29">
        <f>BB66/[2]Popn!$H$42*1000</f>
        <v>0.12817632595417761</v>
      </c>
      <c r="BR66" s="317"/>
      <c r="BS66" s="317"/>
      <c r="BT66" s="317"/>
      <c r="BU66" s="320" t="s">
        <v>72</v>
      </c>
      <c r="BV66" s="330">
        <f>BK151</f>
        <v>4915.6694696252325</v>
      </c>
      <c r="BW66" s="312">
        <f>AVERAGE(BV66,BX66)</f>
        <v>4627.3380867252081</v>
      </c>
      <c r="BX66" s="331">
        <f>BK104</f>
        <v>4339.0067038251836</v>
      </c>
      <c r="BY66" s="331">
        <f>BK57</f>
        <v>4383.1232070778296</v>
      </c>
      <c r="BZ66" s="331">
        <f>BK10</f>
        <v>4558.5433860114072</v>
      </c>
      <c r="CA66" s="595">
        <f>(BZ66-BV66)/BV66</f>
        <v>-7.2650548581544974E-2</v>
      </c>
      <c r="CB66" s="594">
        <f>(BZ66/BV66)^(1/4)-1</f>
        <v>-1.8679537504768029E-2</v>
      </c>
      <c r="CC66" s="317"/>
    </row>
    <row r="67" spans="1:81">
      <c r="A67" s="699"/>
      <c r="B67" s="23"/>
      <c r="C67" s="17" t="s">
        <v>25</v>
      </c>
      <c r="D67" s="57"/>
      <c r="E67" s="2"/>
      <c r="F67" s="2"/>
      <c r="G67" s="63"/>
      <c r="H67" s="2"/>
      <c r="I67" s="20">
        <f>D97*[2]VIC!D$18/(1-[2]VIC!$D$25)</f>
        <v>0</v>
      </c>
      <c r="J67" s="21">
        <f>E97*[2]VIC!E$31*[2]VIC!E$18/(1-[2]VIC!$E$25)</f>
        <v>6206.8316602531631</v>
      </c>
      <c r="K67" s="21">
        <f>E97*[2]VIC!F$31*[2]VIC!F$18/(1-[2]VIC!$F$25)</f>
        <v>0</v>
      </c>
      <c r="L67" s="22">
        <f>SUM(I67:K67)</f>
        <v>6206.8316602531631</v>
      </c>
      <c r="M67" s="212"/>
      <c r="N67" s="20">
        <f t="shared" si="20"/>
        <v>0</v>
      </c>
      <c r="O67" s="21">
        <f t="shared" si="20"/>
        <v>6206.8316602531631</v>
      </c>
      <c r="P67" s="21">
        <f t="shared" si="20"/>
        <v>0</v>
      </c>
      <c r="Q67" s="21">
        <f>SUM(N67:P67)</f>
        <v>6206.8316602531631</v>
      </c>
      <c r="R67" s="34">
        <f>Q67/[2]Popn!$H$42*1000</f>
        <v>1.1398570990057866</v>
      </c>
      <c r="T67" s="201">
        <f>SUMIF([2]VIC!$D$150:$D$181,$C67,[2]VIC!K$150:K$181)</f>
        <v>35305</v>
      </c>
      <c r="U67" s="198">
        <f>SUMIF([2]VIC!$D$150:$D$181,$C67,[2]VIC!L$150:L$181)</f>
        <v>120358</v>
      </c>
      <c r="V67" s="198">
        <f>SUMIF([2]VIC!$D$150:$D$181,$C67,[2]VIC!M$150:M$181)</f>
        <v>0</v>
      </c>
      <c r="W67" s="63"/>
      <c r="X67" s="2"/>
      <c r="Y67" s="2"/>
      <c r="Z67" s="2"/>
      <c r="AA67" s="68"/>
      <c r="AB67" s="21"/>
      <c r="AC67" s="21"/>
      <c r="AD67" s="21"/>
      <c r="AE67" s="21"/>
      <c r="AF67" s="355"/>
      <c r="AG67" s="20">
        <f t="shared" si="21"/>
        <v>35305</v>
      </c>
      <c r="AH67" s="21">
        <f t="shared" si="21"/>
        <v>120358</v>
      </c>
      <c r="AI67" s="21">
        <f t="shared" si="21"/>
        <v>0</v>
      </c>
      <c r="AJ67" s="21">
        <f>SUM(AG67:AI67)</f>
        <v>155663</v>
      </c>
      <c r="AK67" s="29">
        <f>AJ67/[2]Popn!$H$42*1000</f>
        <v>28.58681938142022</v>
      </c>
      <c r="AL67" s="19"/>
      <c r="AM67" s="57"/>
      <c r="AN67" s="2"/>
      <c r="AO67" s="2"/>
      <c r="AP67" s="63"/>
      <c r="AQ67" s="68"/>
      <c r="AR67" s="21">
        <f>L67*'[2]Lfill en &amp; composn'!$D$24</f>
        <v>744.81979923037954</v>
      </c>
      <c r="AS67" s="35">
        <f>AR67/SUM($AR$54:$AR$96)</f>
        <v>2.0850584490875726E-3</v>
      </c>
      <c r="AT67" s="21">
        <f>AS67*'[2]Lfill en &amp; composn'!$H$63/'[2]Lfill en &amp; composn'!$B$24</f>
        <v>660.04585335738466</v>
      </c>
      <c r="AU67" s="25">
        <f t="shared" si="22"/>
        <v>0</v>
      </c>
      <c r="AV67" s="21">
        <f t="shared" si="22"/>
        <v>0</v>
      </c>
      <c r="AW67" s="22">
        <f t="shared" si="22"/>
        <v>0</v>
      </c>
      <c r="AX67" s="83"/>
      <c r="AY67" s="20">
        <f>AU67</f>
        <v>0</v>
      </c>
      <c r="AZ67" s="21">
        <f>AN67+AQ67+AV67</f>
        <v>0</v>
      </c>
      <c r="BA67" s="21">
        <f>AW67</f>
        <v>0</v>
      </c>
      <c r="BB67" s="21">
        <f>SUM(AY67:BA67)</f>
        <v>0</v>
      </c>
      <c r="BC67" s="29">
        <f>BB67/[2]Popn!$H$42*1000</f>
        <v>0</v>
      </c>
      <c r="BR67" s="317"/>
      <c r="BS67" s="317"/>
      <c r="BT67" s="317"/>
      <c r="BU67" s="323" t="s">
        <v>68</v>
      </c>
      <c r="BV67" s="332">
        <f>BK152</f>
        <v>5855.0514999999996</v>
      </c>
      <c r="BW67" s="313">
        <f>AVERAGE(BV67,BX67)</f>
        <v>5820.5843166666664</v>
      </c>
      <c r="BX67" s="333">
        <f>BK105</f>
        <v>5786.1171333333332</v>
      </c>
      <c r="BY67" s="333">
        <f>BK58</f>
        <v>6979.8838000000005</v>
      </c>
      <c r="BZ67" s="333">
        <f>BK11</f>
        <v>7168.65</v>
      </c>
      <c r="CA67" s="656">
        <f t="shared" ref="CA67:CA69" si="24">(BZ67-BV67)/BV67</f>
        <v>0.22435302234318522</v>
      </c>
      <c r="CB67" s="593">
        <f t="shared" ref="CB67:CB69" si="25">(BZ67/BV67)^(1/4)-1</f>
        <v>5.1905351134270195E-2</v>
      </c>
      <c r="CC67" s="317"/>
    </row>
    <row r="68" spans="1:81">
      <c r="A68" s="699"/>
      <c r="B68" s="23"/>
      <c r="C68" s="17" t="s">
        <v>0</v>
      </c>
      <c r="D68" s="57"/>
      <c r="E68" s="2"/>
      <c r="F68" s="2"/>
      <c r="G68" s="63"/>
      <c r="H68" s="198">
        <f>[2]Biosolids!$H$195</f>
        <v>0</v>
      </c>
      <c r="I68" s="20"/>
      <c r="J68" s="21"/>
      <c r="K68" s="21"/>
      <c r="L68" s="22"/>
      <c r="M68" s="212"/>
      <c r="N68" s="23"/>
      <c r="O68" s="19"/>
      <c r="P68" s="19"/>
      <c r="Q68" s="19"/>
      <c r="R68" s="34"/>
      <c r="T68" s="201"/>
      <c r="U68" s="198"/>
      <c r="V68" s="198"/>
      <c r="W68" s="63"/>
      <c r="X68" s="2"/>
      <c r="Y68" s="2"/>
      <c r="Z68" s="2"/>
      <c r="AA68" s="70">
        <f>[2]Biosolids!$H$194</f>
        <v>27687</v>
      </c>
      <c r="AB68" s="21"/>
      <c r="AC68" s="21"/>
      <c r="AD68" s="21"/>
      <c r="AE68" s="21"/>
      <c r="AF68" s="355" t="s">
        <v>196</v>
      </c>
      <c r="AG68" s="20">
        <f>AA68</f>
        <v>27687</v>
      </c>
      <c r="AH68" s="21"/>
      <c r="AI68" s="21"/>
      <c r="AJ68" s="21">
        <f>SUM(AG68:AI68)</f>
        <v>27687</v>
      </c>
      <c r="AK68" s="29">
        <f>AJ68/[2]Popn!$H$42*1000</f>
        <v>5.0845947220173171</v>
      </c>
      <c r="AL68" s="19"/>
      <c r="AM68" s="57"/>
      <c r="AN68" s="2"/>
      <c r="AO68" s="2"/>
      <c r="AP68" s="63"/>
      <c r="AQ68" s="68"/>
      <c r="AR68" s="21"/>
      <c r="AS68" s="21"/>
      <c r="AT68" s="21">
        <f>AS68*'[2]Lfill en &amp; composn'!$H$63/'[2]Lfill en &amp; composn'!$B$21</f>
        <v>0</v>
      </c>
      <c r="AU68" s="25" t="e">
        <f t="shared" si="22"/>
        <v>#DIV/0!</v>
      </c>
      <c r="AV68" s="21" t="e">
        <f t="shared" si="22"/>
        <v>#DIV/0!</v>
      </c>
      <c r="AW68" s="22" t="e">
        <f t="shared" si="22"/>
        <v>#DIV/0!</v>
      </c>
      <c r="AX68" s="2"/>
      <c r="AY68" s="23"/>
      <c r="AZ68" s="19"/>
      <c r="BA68" s="19"/>
      <c r="BB68" s="19"/>
      <c r="BC68" s="24"/>
      <c r="BR68" s="317"/>
      <c r="BS68" s="317"/>
      <c r="BT68" s="314"/>
      <c r="BU68" s="323" t="s">
        <v>69</v>
      </c>
      <c r="BV68" s="332">
        <f>BK153</f>
        <v>258.81623042476741</v>
      </c>
      <c r="BW68" s="313">
        <f>AVERAGE(BV68,BX68)</f>
        <v>257.15535209979146</v>
      </c>
      <c r="BX68" s="333">
        <f>BK106</f>
        <v>255.49447377481545</v>
      </c>
      <c r="BY68" s="333">
        <f>BK59</f>
        <v>286.68238707216881</v>
      </c>
      <c r="BZ68" s="333">
        <f>BK12</f>
        <v>301.28188023859303</v>
      </c>
      <c r="CA68" s="656">
        <f t="shared" si="24"/>
        <v>0.16407645588582792</v>
      </c>
      <c r="CB68" s="593">
        <f t="shared" si="25"/>
        <v>3.8712543909380059E-2</v>
      </c>
      <c r="CC68" s="317"/>
    </row>
    <row r="69" spans="1:81" s="106" customFormat="1" ht="25.5">
      <c r="A69" s="699"/>
      <c r="B69" s="107" t="s">
        <v>67</v>
      </c>
      <c r="C69" s="108"/>
      <c r="D69" s="109"/>
      <c r="E69" s="110"/>
      <c r="F69" s="110"/>
      <c r="G69" s="111"/>
      <c r="H69" s="110"/>
      <c r="I69" s="112">
        <f>SUM(I64:I68)</f>
        <v>1129596.1986587704</v>
      </c>
      <c r="J69" s="113">
        <f>SUM(J64:J68)</f>
        <v>581890.46814873407</v>
      </c>
      <c r="K69" s="113">
        <f>SUM(K64:K68)</f>
        <v>143200.91977482373</v>
      </c>
      <c r="L69" s="114">
        <f>SUM(L64:L68)</f>
        <v>1854687.5865823284</v>
      </c>
      <c r="M69" s="562"/>
      <c r="N69" s="112">
        <f>SUM(N64:N68)</f>
        <v>943847.59701635607</v>
      </c>
      <c r="O69" s="113">
        <f>SUM(O64:O68)</f>
        <v>538409.40191629273</v>
      </c>
      <c r="P69" s="113">
        <f>SUM(P64:P68)</f>
        <v>142597.72545304615</v>
      </c>
      <c r="Q69" s="114">
        <f>SUM(Q64:Q68)</f>
        <v>1624854.7243856951</v>
      </c>
      <c r="R69" s="115">
        <f>SUM(R64:R68)</f>
        <v>298.39736178193402</v>
      </c>
      <c r="T69" s="201"/>
      <c r="U69" s="198"/>
      <c r="V69" s="198"/>
      <c r="W69" s="111"/>
      <c r="X69" s="110"/>
      <c r="Y69" s="110"/>
      <c r="Z69" s="110"/>
      <c r="AA69" s="116"/>
      <c r="AB69" s="113"/>
      <c r="AC69" s="113"/>
      <c r="AD69" s="113"/>
      <c r="AE69" s="113"/>
      <c r="AF69" s="567"/>
      <c r="AG69" s="112">
        <f>SUM(AG64:AG68)</f>
        <v>433924.05</v>
      </c>
      <c r="AH69" s="113">
        <f>SUM(AH64:AH68)</f>
        <v>397006.33999999997</v>
      </c>
      <c r="AI69" s="113">
        <f>SUM(AI64:AI68)</f>
        <v>59896.61</v>
      </c>
      <c r="AJ69" s="113">
        <f>SUM(AJ64:AJ68)</f>
        <v>890827</v>
      </c>
      <c r="AK69" s="118">
        <f>SUM(AK64:AK68)</f>
        <v>163.59642656952795</v>
      </c>
      <c r="AL69" s="119"/>
      <c r="AM69" s="109"/>
      <c r="AN69" s="110"/>
      <c r="AO69" s="110"/>
      <c r="AP69" s="111"/>
      <c r="AQ69" s="116"/>
      <c r="AR69" s="113"/>
      <c r="AS69" s="113"/>
      <c r="AT69" s="113"/>
      <c r="AU69" s="120"/>
      <c r="AV69" s="113"/>
      <c r="AW69" s="114"/>
      <c r="AX69" s="110"/>
      <c r="AY69" s="112">
        <f>SUM(AY64:AY68)</f>
        <v>185748.60164241449</v>
      </c>
      <c r="AZ69" s="113">
        <f>SUM(AZ64:AZ68)</f>
        <v>43481.066232441284</v>
      </c>
      <c r="BA69" s="113">
        <f>SUM(BA64:BA68)</f>
        <v>603.19432177759199</v>
      </c>
      <c r="BB69" s="114">
        <f>SUM(BB64:BB68)</f>
        <v>229832.86219663336</v>
      </c>
      <c r="BC69" s="118">
        <f>SUM(BC64:BC68)</f>
        <v>42.207785533684955</v>
      </c>
      <c r="BD69" s="122"/>
      <c r="BG69" s="146"/>
      <c r="BH69" s="138" t="s">
        <v>72</v>
      </c>
      <c r="BI69" s="138" t="s">
        <v>68</v>
      </c>
      <c r="BJ69" s="138" t="s">
        <v>69</v>
      </c>
      <c r="BK69" s="138" t="s">
        <v>73</v>
      </c>
      <c r="BL69" s="138" t="s">
        <v>78</v>
      </c>
      <c r="BM69" s="6"/>
      <c r="BN69" s="6"/>
      <c r="BO69" s="6"/>
      <c r="BR69" s="314"/>
      <c r="BS69" s="314"/>
      <c r="BT69" s="314"/>
      <c r="BU69" s="576" t="s">
        <v>191</v>
      </c>
      <c r="BV69" s="581">
        <f>SUM(BV66:BV68)</f>
        <v>11029.537200049999</v>
      </c>
      <c r="BW69" s="582">
        <f t="shared" ref="BW69:BZ69" si="26">SUM(BW66:BW68)</f>
        <v>10705.077755491666</v>
      </c>
      <c r="BX69" s="583">
        <f t="shared" si="26"/>
        <v>10380.618310933332</v>
      </c>
      <c r="BY69" s="583">
        <f t="shared" si="26"/>
        <v>11649.68939415</v>
      </c>
      <c r="BZ69" s="583">
        <f t="shared" si="26"/>
        <v>12028.475266250001</v>
      </c>
      <c r="CA69" s="657">
        <f t="shared" si="24"/>
        <v>9.0569354641233155E-2</v>
      </c>
      <c r="CB69" s="652">
        <f t="shared" si="25"/>
        <v>2.1911584587333222E-2</v>
      </c>
      <c r="CC69" s="314"/>
    </row>
    <row r="70" spans="1:81">
      <c r="A70" s="699"/>
      <c r="B70" s="23" t="s">
        <v>5</v>
      </c>
      <c r="C70" s="17" t="s">
        <v>26</v>
      </c>
      <c r="D70" s="57"/>
      <c r="E70" s="2"/>
      <c r="F70" s="2"/>
      <c r="G70" s="63"/>
      <c r="H70" s="2"/>
      <c r="I70" s="20"/>
      <c r="J70" s="21"/>
      <c r="K70" s="21"/>
      <c r="L70" s="22"/>
      <c r="M70" s="212"/>
      <c r="N70" s="23"/>
      <c r="O70" s="19"/>
      <c r="P70" s="19"/>
      <c r="Q70" s="19"/>
      <c r="R70" s="33"/>
      <c r="T70" s="201">
        <f>SUMIF([2]VIC!$D$150:$D$181,$C70,[2]VIC!K$150:K$181)</f>
        <v>115073.17499999999</v>
      </c>
      <c r="U70" s="198">
        <f>SUMIF([2]VIC!$D$150:$D$181,$C70,[2]VIC!L$150:L$181)</f>
        <v>242446.7175</v>
      </c>
      <c r="V70" s="198">
        <f>SUMIF([2]VIC!$D$150:$D$181,$C70,[2]VIC!M$150:M$181)</f>
        <v>1.02</v>
      </c>
      <c r="W70" s="63"/>
      <c r="X70" s="2"/>
      <c r="Y70" s="2"/>
      <c r="Z70" s="2"/>
      <c r="AA70" s="68"/>
      <c r="AB70" s="21"/>
      <c r="AC70" s="21"/>
      <c r="AD70" s="21"/>
      <c r="AE70" s="21"/>
      <c r="AF70" s="355"/>
      <c r="AG70" s="20">
        <f t="shared" ref="AG70:AI73" si="27">T70</f>
        <v>115073.17499999999</v>
      </c>
      <c r="AH70" s="21">
        <f t="shared" si="27"/>
        <v>242446.7175</v>
      </c>
      <c r="AI70" s="21">
        <f t="shared" si="27"/>
        <v>1.02</v>
      </c>
      <c r="AJ70" s="21">
        <f>SUM(AG70:AI70)</f>
        <v>357520.91249999998</v>
      </c>
      <c r="AK70" s="29">
        <f>AJ70/[2]Popn!$H$42*1000</f>
        <v>65.657129508733888</v>
      </c>
      <c r="AL70" s="19"/>
      <c r="AM70" s="57"/>
      <c r="AN70" s="2"/>
      <c r="AO70" s="2"/>
      <c r="AP70" s="63"/>
      <c r="AQ70" s="68"/>
      <c r="AR70" s="21"/>
      <c r="AS70" s="21"/>
      <c r="AT70" s="21"/>
      <c r="AU70" s="25"/>
      <c r="AV70" s="21"/>
      <c r="AW70" s="22"/>
      <c r="AX70" s="2"/>
      <c r="AY70" s="23"/>
      <c r="AZ70" s="19"/>
      <c r="BA70" s="19"/>
      <c r="BB70" s="19"/>
      <c r="BC70" s="24"/>
      <c r="BG70" s="147" t="s">
        <v>3</v>
      </c>
      <c r="BH70" s="52">
        <f>Q59/1000</f>
        <v>1003.675706528154</v>
      </c>
      <c r="BI70" s="52">
        <f>AJ59/1000</f>
        <v>3370.7043100000001</v>
      </c>
      <c r="BJ70" s="52">
        <f>BB59/1000</f>
        <v>0</v>
      </c>
      <c r="BK70" s="137">
        <f>SUM(BI70:BJ70)/BL70</f>
        <v>0.77055589529582114</v>
      </c>
      <c r="BL70" s="52">
        <f>SUM(BH70:BJ70)</f>
        <v>4374.3800165281536</v>
      </c>
      <c r="BR70" s="317"/>
      <c r="BS70" s="317"/>
      <c r="BT70" s="317"/>
      <c r="BU70" s="314"/>
      <c r="BV70" s="314"/>
      <c r="BW70" s="314"/>
      <c r="BX70" s="314"/>
      <c r="BY70" s="314"/>
      <c r="BZ70" s="314"/>
      <c r="CA70" s="314"/>
      <c r="CB70" s="314"/>
      <c r="CC70" s="317"/>
    </row>
    <row r="71" spans="1:81">
      <c r="A71" s="699"/>
      <c r="B71" s="23"/>
      <c r="C71" s="17" t="s">
        <v>27</v>
      </c>
      <c r="D71" s="57"/>
      <c r="E71" s="2"/>
      <c r="F71" s="2"/>
      <c r="G71" s="63"/>
      <c r="H71" s="2"/>
      <c r="I71" s="20"/>
      <c r="J71" s="21"/>
      <c r="K71" s="21"/>
      <c r="L71" s="22"/>
      <c r="M71" s="212"/>
      <c r="N71" s="23"/>
      <c r="O71" s="19"/>
      <c r="P71" s="19"/>
      <c r="Q71" s="19"/>
      <c r="R71" s="33"/>
      <c r="T71" s="201">
        <f>SUMIF([2]VIC!$D$150:$D$181,$C71,[2]VIC!K$150:K$181)</f>
        <v>0</v>
      </c>
      <c r="U71" s="198">
        <f>SUMIF([2]VIC!$D$150:$D$181,$C71,[2]VIC!L$150:L$181)</f>
        <v>0</v>
      </c>
      <c r="V71" s="198">
        <f>SUMIF([2]VIC!$D$150:$D$181,$C71,[2]VIC!M$150:M$181)</f>
        <v>0</v>
      </c>
      <c r="W71" s="63"/>
      <c r="X71" s="2"/>
      <c r="Y71" s="2"/>
      <c r="Z71" s="2"/>
      <c r="AA71" s="68"/>
      <c r="AB71" s="21"/>
      <c r="AC71" s="21"/>
      <c r="AD71" s="21"/>
      <c r="AE71" s="21"/>
      <c r="AF71" s="355"/>
      <c r="AG71" s="20">
        <f t="shared" si="27"/>
        <v>0</v>
      </c>
      <c r="AH71" s="21">
        <f t="shared" si="27"/>
        <v>0</v>
      </c>
      <c r="AI71" s="21">
        <f t="shared" si="27"/>
        <v>0</v>
      </c>
      <c r="AJ71" s="21">
        <f>SUM(AG71:AI71)</f>
        <v>0</v>
      </c>
      <c r="AK71" s="29">
        <f>AJ71/[2]Popn!$H$42*1000</f>
        <v>0</v>
      </c>
      <c r="AL71" s="19"/>
      <c r="AM71" s="57"/>
      <c r="AN71" s="2"/>
      <c r="AO71" s="2"/>
      <c r="AP71" s="63"/>
      <c r="AQ71" s="68"/>
      <c r="AR71" s="21"/>
      <c r="AS71" s="21"/>
      <c r="AT71" s="21"/>
      <c r="AU71" s="25"/>
      <c r="AV71" s="21"/>
      <c r="AW71" s="22"/>
      <c r="AX71" s="2"/>
      <c r="AY71" s="23"/>
      <c r="AZ71" s="19"/>
      <c r="BA71" s="19"/>
      <c r="BB71" s="19"/>
      <c r="BC71" s="24"/>
      <c r="BG71" s="147" t="s">
        <v>4</v>
      </c>
      <c r="BH71" s="52">
        <f>Q63/1000</f>
        <v>84.993823532245472</v>
      </c>
      <c r="BI71" s="52">
        <f>AJ63/1000</f>
        <v>1359.4931999999999</v>
      </c>
      <c r="BJ71" s="52">
        <f>BB63/1000</f>
        <v>0</v>
      </c>
      <c r="BK71" s="137">
        <f t="shared" ref="BK71:BK78" si="28">SUM(BI71:BJ71)/BL71</f>
        <v>0.94115985664972779</v>
      </c>
      <c r="BL71" s="52">
        <f t="shared" ref="BL71:BL78" si="29">SUM(BH71:BJ71)</f>
        <v>1444.4870235322453</v>
      </c>
      <c r="BR71" s="317"/>
      <c r="BS71" s="317"/>
      <c r="BT71" s="317"/>
      <c r="BU71" s="317"/>
      <c r="BV71" s="317"/>
      <c r="BW71" s="317"/>
      <c r="BX71" s="317"/>
      <c r="BY71" s="317"/>
      <c r="BZ71" s="317"/>
      <c r="CA71" s="317"/>
      <c r="CB71" s="317"/>
      <c r="CC71" s="317"/>
    </row>
    <row r="72" spans="1:81">
      <c r="A72" s="699"/>
      <c r="B72" s="23"/>
      <c r="C72" s="17" t="s">
        <v>28</v>
      </c>
      <c r="D72" s="57"/>
      <c r="E72" s="2"/>
      <c r="F72" s="2"/>
      <c r="G72" s="63"/>
      <c r="H72" s="2"/>
      <c r="I72" s="20"/>
      <c r="J72" s="21"/>
      <c r="K72" s="21"/>
      <c r="L72" s="22"/>
      <c r="M72" s="212"/>
      <c r="N72" s="23"/>
      <c r="O72" s="19"/>
      <c r="P72" s="19"/>
      <c r="Q72" s="19"/>
      <c r="R72" s="33"/>
      <c r="T72" s="201">
        <f>SUMIF([2]VIC!$D$150:$D$181,$C72,[2]VIC!K$150:K$181)</f>
        <v>106367.515</v>
      </c>
      <c r="U72" s="198">
        <f>SUMIF([2]VIC!$D$150:$D$181,$C72,[2]VIC!L$150:L$181)</f>
        <v>169455.33749999999</v>
      </c>
      <c r="V72" s="198">
        <f>SUMIF([2]VIC!$D$150:$D$181,$C72,[2]VIC!M$150:M$181)</f>
        <v>0</v>
      </c>
      <c r="W72" s="63"/>
      <c r="X72" s="2"/>
      <c r="Y72" s="2"/>
      <c r="Z72" s="2"/>
      <c r="AA72" s="68"/>
      <c r="AB72" s="21"/>
      <c r="AC72" s="21"/>
      <c r="AD72" s="21"/>
      <c r="AE72" s="21"/>
      <c r="AF72" s="355"/>
      <c r="AG72" s="20">
        <f t="shared" si="27"/>
        <v>106367.515</v>
      </c>
      <c r="AH72" s="21">
        <f t="shared" si="27"/>
        <v>169455.33749999999</v>
      </c>
      <c r="AI72" s="21">
        <f t="shared" si="27"/>
        <v>0</v>
      </c>
      <c r="AJ72" s="21">
        <f>SUM(AG72:AI72)</f>
        <v>275822.85249999998</v>
      </c>
      <c r="AK72" s="29">
        <f>AJ72/[2]Popn!$H$42*1000</f>
        <v>50.653643227264091</v>
      </c>
      <c r="AL72" s="19"/>
      <c r="AM72" s="57"/>
      <c r="AN72" s="2"/>
      <c r="AO72" s="2"/>
      <c r="AP72" s="63"/>
      <c r="AQ72" s="68"/>
      <c r="AR72" s="21"/>
      <c r="AS72" s="21"/>
      <c r="AT72" s="21"/>
      <c r="AU72" s="25"/>
      <c r="AV72" s="21"/>
      <c r="AW72" s="22"/>
      <c r="AX72" s="2"/>
      <c r="AY72" s="23"/>
      <c r="AZ72" s="19"/>
      <c r="BA72" s="19"/>
      <c r="BB72" s="19"/>
      <c r="BC72" s="24"/>
      <c r="BG72" s="147" t="s">
        <v>2</v>
      </c>
      <c r="BH72" s="52">
        <f>Q69/1000</f>
        <v>1624.8547243856951</v>
      </c>
      <c r="BI72" s="52">
        <f>AJ69/1000</f>
        <v>890.827</v>
      </c>
      <c r="BJ72" s="52">
        <f>BB69/1000</f>
        <v>229.83286219663336</v>
      </c>
      <c r="BK72" s="137">
        <f t="shared" si="28"/>
        <v>0.40817844045463741</v>
      </c>
      <c r="BL72" s="52">
        <f t="shared" si="29"/>
        <v>2745.5145865823283</v>
      </c>
      <c r="BR72" s="317"/>
      <c r="BS72" s="317"/>
      <c r="BT72" s="317"/>
      <c r="BU72" s="317"/>
      <c r="BV72" s="317"/>
      <c r="BW72" s="317"/>
      <c r="BX72" s="317"/>
      <c r="BY72" s="317"/>
      <c r="BZ72" s="317"/>
      <c r="CA72" s="317"/>
      <c r="CB72" s="317"/>
      <c r="CC72" s="317"/>
    </row>
    <row r="73" spans="1:81">
      <c r="A73" s="699"/>
      <c r="B73" s="23"/>
      <c r="C73" s="17" t="s">
        <v>29</v>
      </c>
      <c r="D73" s="57"/>
      <c r="E73" s="2"/>
      <c r="F73" s="2"/>
      <c r="G73" s="63"/>
      <c r="H73" s="2"/>
      <c r="I73" s="20"/>
      <c r="J73" s="21"/>
      <c r="K73" s="21"/>
      <c r="L73" s="22"/>
      <c r="M73" s="212"/>
      <c r="N73" s="23"/>
      <c r="O73" s="19"/>
      <c r="P73" s="19"/>
      <c r="Q73" s="19"/>
      <c r="R73" s="33"/>
      <c r="T73" s="201">
        <f>SUMIF([2]VIC!$D$150:$D$181,$C73,[2]VIC!K$150:K$181)</f>
        <v>96803.994999999995</v>
      </c>
      <c r="U73" s="198">
        <f>SUMIF([2]VIC!$D$150:$D$181,$C73,[2]VIC!L$150:L$181)</f>
        <v>108632.61749999999</v>
      </c>
      <c r="V73" s="198">
        <f>SUMIF([2]VIC!$D$150:$D$181,$C73,[2]VIC!M$150:M$181)</f>
        <v>0</v>
      </c>
      <c r="W73" s="63"/>
      <c r="X73" s="2"/>
      <c r="Y73" s="2"/>
      <c r="Z73" s="2"/>
      <c r="AA73" s="68"/>
      <c r="AB73" s="21"/>
      <c r="AC73" s="21"/>
      <c r="AD73" s="21"/>
      <c r="AE73" s="21"/>
      <c r="AF73" s="355"/>
      <c r="AG73" s="20">
        <f t="shared" si="27"/>
        <v>96803.994999999995</v>
      </c>
      <c r="AH73" s="21">
        <f t="shared" si="27"/>
        <v>108632.61749999999</v>
      </c>
      <c r="AI73" s="21">
        <f t="shared" si="27"/>
        <v>0</v>
      </c>
      <c r="AJ73" s="21">
        <f>SUM(AG73:AI73)</f>
        <v>205436.61249999999</v>
      </c>
      <c r="AK73" s="29">
        <f>AJ73/[2]Popn!$H$42*1000</f>
        <v>37.727522506108158</v>
      </c>
      <c r="AL73" s="19"/>
      <c r="AM73" s="57"/>
      <c r="AN73" s="2"/>
      <c r="AO73" s="2"/>
      <c r="AP73" s="63"/>
      <c r="AQ73" s="68"/>
      <c r="AR73" s="21"/>
      <c r="AS73" s="21"/>
      <c r="AT73" s="21"/>
      <c r="AU73" s="25"/>
      <c r="AV73" s="21"/>
      <c r="AW73" s="22"/>
      <c r="AX73" s="2"/>
      <c r="AY73" s="23"/>
      <c r="AZ73" s="19"/>
      <c r="BA73" s="19"/>
      <c r="BB73" s="19"/>
      <c r="BC73" s="24"/>
      <c r="BG73" s="147" t="s">
        <v>5</v>
      </c>
      <c r="BH73" s="52">
        <f>Q74/1000</f>
        <v>537.07791365596029</v>
      </c>
      <c r="BI73" s="52">
        <f>AJ74/1000</f>
        <v>838.78037749999999</v>
      </c>
      <c r="BJ73" s="52">
        <f>BB74/1000</f>
        <v>44.296742360388023</v>
      </c>
      <c r="BK73" s="137">
        <f t="shared" si="28"/>
        <v>0.62181740656431117</v>
      </c>
      <c r="BL73" s="52">
        <f t="shared" si="29"/>
        <v>1420.1550335163481</v>
      </c>
      <c r="BR73" s="317"/>
      <c r="BS73" s="317"/>
      <c r="BT73" s="317"/>
      <c r="BU73" s="317"/>
      <c r="BV73" s="317"/>
      <c r="BW73" s="317"/>
      <c r="BX73" s="317"/>
      <c r="BY73" s="317"/>
      <c r="BZ73" s="317"/>
      <c r="CA73" s="317"/>
      <c r="CB73" s="317"/>
      <c r="CC73" s="317"/>
    </row>
    <row r="74" spans="1:81" s="106" customFormat="1">
      <c r="A74" s="699"/>
      <c r="B74" s="107" t="s">
        <v>67</v>
      </c>
      <c r="C74" s="108"/>
      <c r="D74" s="109"/>
      <c r="E74" s="110"/>
      <c r="F74" s="110"/>
      <c r="G74" s="111"/>
      <c r="H74" s="110"/>
      <c r="I74" s="112">
        <f>D97*[2]VIC!D$13/(1-[2]VIC!$D$25)</f>
        <v>281752.8275830801</v>
      </c>
      <c r="J74" s="113">
        <f>E97*[2]VIC!E$31*[2]VIC!E$13/(1-[2]VIC!$E$25)</f>
        <v>291721.08803189866</v>
      </c>
      <c r="K74" s="113">
        <f>E97*[2]VIC!F$31*[2]VIC!F$13/(1-[2]VIC!$F$25)</f>
        <v>7900.7404013695859</v>
      </c>
      <c r="L74" s="114">
        <f>SUM(I74:K74)</f>
        <v>581374.6560163484</v>
      </c>
      <c r="M74" s="562"/>
      <c r="N74" s="112">
        <f>I74-AU74</f>
        <v>252389.95779966825</v>
      </c>
      <c r="O74" s="113">
        <f>J74-AV74</f>
        <v>276987.4421250585</v>
      </c>
      <c r="P74" s="113">
        <f>K74-AW74</f>
        <v>7700.5137312335346</v>
      </c>
      <c r="Q74" s="113">
        <f>SUM(N74:P74)</f>
        <v>537077.91365596023</v>
      </c>
      <c r="R74" s="115">
        <f>Q74/[2]Popn!$H$42*1000</f>
        <v>98.631976201364097</v>
      </c>
      <c r="T74" s="201"/>
      <c r="U74" s="198"/>
      <c r="V74" s="198"/>
      <c r="W74" s="111"/>
      <c r="X74" s="110"/>
      <c r="Y74" s="110"/>
      <c r="Z74" s="110"/>
      <c r="AA74" s="116"/>
      <c r="AB74" s="113"/>
      <c r="AC74" s="113"/>
      <c r="AD74" s="113"/>
      <c r="AE74" s="113"/>
      <c r="AF74" s="567"/>
      <c r="AG74" s="112">
        <f>SUM(AG70:AG73)</f>
        <v>318244.685</v>
      </c>
      <c r="AH74" s="113">
        <f>SUM(AH70:AH73)</f>
        <v>520534.67249999999</v>
      </c>
      <c r="AI74" s="113">
        <f>SUM(AI70:AI73)</f>
        <v>1.02</v>
      </c>
      <c r="AJ74" s="113">
        <f>SUM(AJ70:AJ73)</f>
        <v>838780.37749999994</v>
      </c>
      <c r="AK74" s="118">
        <f>SUM(AK70:AK73)</f>
        <v>154.03829524210613</v>
      </c>
      <c r="AL74" s="119"/>
      <c r="AM74" s="109"/>
      <c r="AN74" s="110"/>
      <c r="AO74" s="110"/>
      <c r="AP74" s="111"/>
      <c r="AQ74" s="117"/>
      <c r="AR74" s="113">
        <f>L74*'[2]Lfill en &amp; composn'!$D$17</f>
        <v>113949.43257920429</v>
      </c>
      <c r="AS74" s="123">
        <f>AR74/SUM($AR$54:$AR$96)</f>
        <v>0.3189915566335737</v>
      </c>
      <c r="AT74" s="113">
        <f>AS74*'[2]Lfill en &amp; composn'!$H$63/'[2]Lfill en &amp; composn'!$B$17</f>
        <v>60587.957417925951</v>
      </c>
      <c r="AU74" s="25">
        <f>AT74*I74/$L74</f>
        <v>29362.869783411839</v>
      </c>
      <c r="AV74" s="21">
        <f>AU74*J74/$L74</f>
        <v>14733.645906840133</v>
      </c>
      <c r="AW74" s="22">
        <f>AV74*K74/$L74</f>
        <v>200.22667013605093</v>
      </c>
      <c r="AX74" s="110"/>
      <c r="AY74" s="112">
        <f>AU74</f>
        <v>29362.869783411839</v>
      </c>
      <c r="AZ74" s="113">
        <f>AN74+AQ74+AV74</f>
        <v>14733.645906840133</v>
      </c>
      <c r="BA74" s="113">
        <f>AW74</f>
        <v>200.22667013605093</v>
      </c>
      <c r="BB74" s="113">
        <f>SUM(AY74:BA74)</f>
        <v>44296.742360388023</v>
      </c>
      <c r="BC74" s="118">
        <f>BB74/[2]Popn!$H$42*1000</f>
        <v>8.1349002206158065</v>
      </c>
      <c r="BD74" s="122"/>
      <c r="BG74" s="147" t="s">
        <v>6</v>
      </c>
      <c r="BH74" s="52">
        <f>Q84/1000</f>
        <v>510.53555505338153</v>
      </c>
      <c r="BI74" s="52">
        <f>AJ84/1000</f>
        <v>154.80699999999996</v>
      </c>
      <c r="BJ74" s="52">
        <f>BB84/1000</f>
        <v>0</v>
      </c>
      <c r="BK74" s="137">
        <f t="shared" si="28"/>
        <v>0.23267262679084091</v>
      </c>
      <c r="BL74" s="52">
        <f t="shared" si="29"/>
        <v>665.34255505338149</v>
      </c>
      <c r="BM74" s="6"/>
      <c r="BN74" s="6"/>
      <c r="BO74" s="6"/>
      <c r="BR74" s="314"/>
      <c r="BS74" s="314"/>
      <c r="BT74" s="317"/>
      <c r="BU74" s="317"/>
      <c r="BV74" s="317"/>
      <c r="BW74" s="317"/>
      <c r="BX74" s="317"/>
      <c r="BY74" s="317"/>
      <c r="BZ74" s="317"/>
      <c r="CA74" s="317"/>
      <c r="CB74" s="317"/>
      <c r="CC74" s="314"/>
    </row>
    <row r="75" spans="1:81">
      <c r="A75" s="699"/>
      <c r="B75" s="23" t="s">
        <v>6</v>
      </c>
      <c r="C75" s="17" t="s">
        <v>30</v>
      </c>
      <c r="D75" s="57"/>
      <c r="E75" s="2"/>
      <c r="F75" s="2"/>
      <c r="G75" s="63"/>
      <c r="H75" s="2"/>
      <c r="I75" s="20"/>
      <c r="J75" s="21"/>
      <c r="K75" s="21"/>
      <c r="L75" s="22"/>
      <c r="M75" s="212"/>
      <c r="N75" s="23"/>
      <c r="O75" s="19"/>
      <c r="P75" s="19"/>
      <c r="Q75" s="19"/>
      <c r="R75" s="33"/>
      <c r="T75" s="201"/>
      <c r="U75" s="198"/>
      <c r="V75" s="198"/>
      <c r="W75" s="63"/>
      <c r="X75" s="2"/>
      <c r="Y75" s="2"/>
      <c r="Z75" s="2"/>
      <c r="AA75" s="68"/>
      <c r="AB75" s="21"/>
      <c r="AC75" s="21"/>
      <c r="AD75" s="21"/>
      <c r="AE75" s="21"/>
      <c r="AF75" s="355"/>
      <c r="AG75" s="20"/>
      <c r="AH75" s="21"/>
      <c r="AI75" s="21"/>
      <c r="AJ75" s="21"/>
      <c r="AK75" s="29"/>
      <c r="AL75" s="19"/>
      <c r="AM75" s="57"/>
      <c r="AN75" s="2"/>
      <c r="AO75" s="2"/>
      <c r="AP75" s="63"/>
      <c r="AQ75" s="68"/>
      <c r="AR75" s="21"/>
      <c r="AS75" s="21"/>
      <c r="AT75" s="21"/>
      <c r="AU75" s="25"/>
      <c r="AV75" s="21"/>
      <c r="AW75" s="22"/>
      <c r="AX75" s="2"/>
      <c r="AY75" s="23"/>
      <c r="AZ75" s="19"/>
      <c r="BA75" s="19"/>
      <c r="BB75" s="19"/>
      <c r="BC75" s="24"/>
      <c r="BG75" s="147" t="s">
        <v>8</v>
      </c>
      <c r="BH75" s="52">
        <f>Q85/1000</f>
        <v>104.39862399204476</v>
      </c>
      <c r="BI75" s="52">
        <f>AJ85/1000</f>
        <v>156.11699999999999</v>
      </c>
      <c r="BJ75" s="52">
        <f>BB85/1000</f>
        <v>0</v>
      </c>
      <c r="BK75" s="137">
        <f t="shared" si="28"/>
        <v>0.59926156292555899</v>
      </c>
      <c r="BL75" s="52">
        <f t="shared" si="29"/>
        <v>260.51562399204477</v>
      </c>
      <c r="BR75" s="317"/>
      <c r="BS75" s="317"/>
      <c r="BT75" s="317"/>
      <c r="BU75" s="317"/>
      <c r="BV75" s="317"/>
      <c r="BW75" s="317"/>
      <c r="BX75" s="317"/>
      <c r="BY75" s="317"/>
      <c r="BZ75" s="317"/>
      <c r="CA75" s="317"/>
      <c r="CB75" s="317"/>
      <c r="CC75" s="317"/>
    </row>
    <row r="76" spans="1:81">
      <c r="A76" s="699"/>
      <c r="B76" s="23"/>
      <c r="C76" s="17" t="s">
        <v>31</v>
      </c>
      <c r="D76" s="57"/>
      <c r="E76" s="2"/>
      <c r="F76" s="2"/>
      <c r="G76" s="63"/>
      <c r="H76" s="2"/>
      <c r="I76" s="20"/>
      <c r="J76" s="21"/>
      <c r="K76" s="21"/>
      <c r="L76" s="22"/>
      <c r="M76" s="212"/>
      <c r="N76" s="23"/>
      <c r="O76" s="19"/>
      <c r="P76" s="19"/>
      <c r="Q76" s="19"/>
      <c r="R76" s="33"/>
      <c r="T76" s="201"/>
      <c r="U76" s="198"/>
      <c r="V76" s="198"/>
      <c r="W76" s="63"/>
      <c r="X76" s="2"/>
      <c r="Y76" s="2"/>
      <c r="Z76" s="2"/>
      <c r="AA76" s="68"/>
      <c r="AB76" s="21"/>
      <c r="AC76" s="21"/>
      <c r="AD76" s="21"/>
      <c r="AE76" s="21"/>
      <c r="AF76" s="355"/>
      <c r="AG76" s="20"/>
      <c r="AH76" s="21"/>
      <c r="AI76" s="21"/>
      <c r="AJ76" s="21"/>
      <c r="AK76" s="29"/>
      <c r="AL76" s="19"/>
      <c r="AM76" s="57"/>
      <c r="AN76" s="2"/>
      <c r="AO76" s="2"/>
      <c r="AP76" s="63"/>
      <c r="AQ76" s="68"/>
      <c r="AR76" s="21"/>
      <c r="AS76" s="21"/>
      <c r="AT76" s="21"/>
      <c r="AU76" s="25"/>
      <c r="AV76" s="21"/>
      <c r="AW76" s="22"/>
      <c r="AX76" s="2"/>
      <c r="AY76" s="23"/>
      <c r="AZ76" s="19"/>
      <c r="BA76" s="19"/>
      <c r="BB76" s="19"/>
      <c r="BC76" s="24"/>
      <c r="BG76" s="147" t="s">
        <v>7</v>
      </c>
      <c r="BH76" s="52">
        <f>Q88/1000</f>
        <v>171.70485993034953</v>
      </c>
      <c r="BI76" s="52">
        <f>AJ88/1000</f>
        <v>209.15491249999997</v>
      </c>
      <c r="BJ76" s="52">
        <f>BB88/1000</f>
        <v>12.552782515147412</v>
      </c>
      <c r="BK76" s="137">
        <f t="shared" si="28"/>
        <v>0.56355012626849854</v>
      </c>
      <c r="BL76" s="52">
        <f t="shared" si="29"/>
        <v>393.41255494549688</v>
      </c>
      <c r="BR76" s="317"/>
      <c r="BS76" s="317"/>
      <c r="BT76" s="325"/>
      <c r="BU76" s="317"/>
      <c r="BV76" s="317"/>
      <c r="BW76" s="317"/>
      <c r="BX76" s="317"/>
      <c r="BY76" s="317"/>
      <c r="BZ76" s="317"/>
      <c r="CA76" s="317"/>
      <c r="CB76" s="317"/>
      <c r="CC76" s="317"/>
    </row>
    <row r="77" spans="1:81">
      <c r="A77" s="699"/>
      <c r="B77" s="23"/>
      <c r="C77" s="17" t="s">
        <v>32</v>
      </c>
      <c r="D77" s="57"/>
      <c r="E77" s="2"/>
      <c r="F77" s="2"/>
      <c r="G77" s="63"/>
      <c r="H77" s="2"/>
      <c r="I77" s="20"/>
      <c r="J77" s="21"/>
      <c r="K77" s="21"/>
      <c r="L77" s="22"/>
      <c r="M77" s="212"/>
      <c r="N77" s="23"/>
      <c r="O77" s="19"/>
      <c r="P77" s="19"/>
      <c r="Q77" s="19"/>
      <c r="R77" s="33"/>
      <c r="T77" s="201"/>
      <c r="U77" s="198"/>
      <c r="V77" s="198"/>
      <c r="W77" s="63"/>
      <c r="X77" s="2"/>
      <c r="Y77" s="2"/>
      <c r="Z77" s="2"/>
      <c r="AA77" s="68"/>
      <c r="AB77" s="21"/>
      <c r="AC77" s="21"/>
      <c r="AD77" s="21"/>
      <c r="AE77" s="21"/>
      <c r="AF77" s="355"/>
      <c r="AG77" s="20"/>
      <c r="AH77" s="21"/>
      <c r="AI77" s="21"/>
      <c r="AJ77" s="21"/>
      <c r="AK77" s="29"/>
      <c r="AL77" s="19"/>
      <c r="AM77" s="57"/>
      <c r="AN77" s="2"/>
      <c r="AO77" s="2"/>
      <c r="AP77" s="63"/>
      <c r="AQ77" s="68"/>
      <c r="AR77" s="21"/>
      <c r="AS77" s="21"/>
      <c r="AT77" s="21"/>
      <c r="AU77" s="25"/>
      <c r="AV77" s="21"/>
      <c r="AW77" s="22"/>
      <c r="AX77" s="2"/>
      <c r="AY77" s="23"/>
      <c r="AZ77" s="19"/>
      <c r="BA77" s="19"/>
      <c r="BB77" s="19"/>
      <c r="BC77" s="24"/>
      <c r="BG77" s="147" t="s">
        <v>11</v>
      </c>
      <c r="BH77" s="52">
        <f>Q93/1000</f>
        <v>345.88200000000001</v>
      </c>
      <c r="BI77" s="52">
        <f>AJ93/1000</f>
        <v>0</v>
      </c>
      <c r="BJ77" s="52">
        <f>BB93/1000</f>
        <v>0</v>
      </c>
      <c r="BK77" s="137">
        <f t="shared" si="28"/>
        <v>0</v>
      </c>
      <c r="BL77" s="52">
        <f t="shared" si="29"/>
        <v>345.88200000000001</v>
      </c>
      <c r="BR77" s="317"/>
      <c r="BS77" s="317"/>
      <c r="BT77" s="326"/>
      <c r="BU77" s="325"/>
      <c r="BV77" s="317"/>
      <c r="BW77" s="317"/>
      <c r="BX77" s="317"/>
      <c r="BY77" s="317"/>
      <c r="BZ77" s="317"/>
      <c r="CA77" s="317"/>
      <c r="CB77" s="317"/>
      <c r="CC77" s="317"/>
    </row>
    <row r="78" spans="1:81" s="90" customFormat="1">
      <c r="A78" s="699"/>
      <c r="B78" s="91" t="s">
        <v>42</v>
      </c>
      <c r="C78" s="92"/>
      <c r="D78" s="93"/>
      <c r="E78" s="94"/>
      <c r="F78" s="94"/>
      <c r="G78" s="95"/>
      <c r="H78" s="94"/>
      <c r="I78" s="96">
        <f>D97*[2]VIC!D$20/(1-[2]VIC!$D$25)</f>
        <v>100810.64473156077</v>
      </c>
      <c r="J78" s="97">
        <f>E97*[2]VIC!E$31*[2]VIC!E$20/(1-[2]VIC!$E$25)</f>
        <v>114826.38571468352</v>
      </c>
      <c r="K78" s="97">
        <f>E97*[2]VIC!F$31*[2]VIC!F$20/(1-[2]VIC!$F$25)</f>
        <v>12838.703152225577</v>
      </c>
      <c r="L78" s="98">
        <f>SUM(I78:K78)</f>
        <v>228475.73359846987</v>
      </c>
      <c r="M78" s="562"/>
      <c r="N78" s="96">
        <f>I78-AU78</f>
        <v>100810.64473156077</v>
      </c>
      <c r="O78" s="97">
        <f>J78-AV78</f>
        <v>114826.38571468352</v>
      </c>
      <c r="P78" s="97">
        <f>K78-AW78</f>
        <v>12838.703152225577</v>
      </c>
      <c r="Q78" s="97">
        <f>SUM(N78:P78)</f>
        <v>228475.73359846987</v>
      </c>
      <c r="R78" s="99">
        <f>Q78/[2]Popn!$H$42*1000</f>
        <v>41.958554887268917</v>
      </c>
      <c r="T78" s="201"/>
      <c r="U78" s="198"/>
      <c r="V78" s="198"/>
      <c r="W78" s="95"/>
      <c r="X78" s="94"/>
      <c r="Y78" s="94"/>
      <c r="Z78" s="94"/>
      <c r="AA78" s="100"/>
      <c r="AB78" s="97"/>
      <c r="AC78" s="97"/>
      <c r="AD78" s="97"/>
      <c r="AE78" s="97"/>
      <c r="AF78" s="568"/>
      <c r="AG78" s="96"/>
      <c r="AH78" s="97"/>
      <c r="AI78" s="97"/>
      <c r="AJ78" s="97"/>
      <c r="AK78" s="102"/>
      <c r="AL78" s="103"/>
      <c r="AM78" s="93"/>
      <c r="AN78" s="94"/>
      <c r="AO78" s="94"/>
      <c r="AP78" s="95"/>
      <c r="AQ78" s="100"/>
      <c r="AR78" s="97"/>
      <c r="AS78" s="128"/>
      <c r="AT78" s="128"/>
      <c r="AU78" s="104"/>
      <c r="AV78" s="97"/>
      <c r="AW78" s="98"/>
      <c r="AX78" s="94"/>
      <c r="AY78" s="96"/>
      <c r="AZ78" s="97"/>
      <c r="BA78" s="97"/>
      <c r="BB78" s="97"/>
      <c r="BC78" s="105"/>
      <c r="BG78" s="147" t="s">
        <v>1</v>
      </c>
      <c r="BH78" s="52">
        <f>Q94/1000</f>
        <v>1228.058880803105</v>
      </c>
      <c r="BI78" s="52">
        <f>AJ94/1000</f>
        <v>1393.415499328258</v>
      </c>
      <c r="BJ78" s="52">
        <f>BB94/1000</f>
        <v>0</v>
      </c>
      <c r="BK78" s="137">
        <f t="shared" si="28"/>
        <v>0.53153885839556958</v>
      </c>
      <c r="BL78" s="52">
        <f t="shared" si="29"/>
        <v>2621.474380131363</v>
      </c>
      <c r="BM78" s="6"/>
      <c r="BN78" s="6"/>
      <c r="BO78" s="6"/>
      <c r="BR78" s="334"/>
      <c r="BS78" s="334"/>
      <c r="BT78" s="328"/>
      <c r="BU78" s="326"/>
      <c r="BV78" s="317"/>
      <c r="BW78" s="317"/>
      <c r="BX78" s="317"/>
      <c r="BY78" s="317"/>
      <c r="BZ78" s="317"/>
      <c r="CA78" s="317"/>
      <c r="CB78" s="317"/>
      <c r="CC78" s="334"/>
    </row>
    <row r="79" spans="1:81">
      <c r="A79" s="699"/>
      <c r="B79" s="23"/>
      <c r="C79" s="17" t="s">
        <v>33</v>
      </c>
      <c r="D79" s="57"/>
      <c r="E79" s="2"/>
      <c r="F79" s="2"/>
      <c r="G79" s="63"/>
      <c r="H79" s="2"/>
      <c r="I79" s="20"/>
      <c r="J79" s="21"/>
      <c r="K79" s="21"/>
      <c r="L79" s="22"/>
      <c r="M79" s="212"/>
      <c r="N79" s="23"/>
      <c r="O79" s="19"/>
      <c r="P79" s="19"/>
      <c r="Q79" s="19"/>
      <c r="R79" s="33"/>
      <c r="T79" s="201"/>
      <c r="U79" s="198"/>
      <c r="V79" s="198"/>
      <c r="W79" s="63"/>
      <c r="X79" s="2"/>
      <c r="Y79" s="2"/>
      <c r="Z79" s="2"/>
      <c r="AA79" s="68"/>
      <c r="AB79" s="21"/>
      <c r="AC79" s="21"/>
      <c r="AD79" s="21"/>
      <c r="AE79" s="21"/>
      <c r="AF79" s="355"/>
      <c r="AG79" s="20"/>
      <c r="AH79" s="21"/>
      <c r="AI79" s="21"/>
      <c r="AJ79" s="21"/>
      <c r="AK79" s="29"/>
      <c r="AL79" s="19"/>
      <c r="AM79" s="57"/>
      <c r="AN79" s="2"/>
      <c r="AO79" s="2"/>
      <c r="AP79" s="63"/>
      <c r="AQ79" s="68"/>
      <c r="AR79" s="21"/>
      <c r="AS79" s="21"/>
      <c r="AT79" s="21"/>
      <c r="AU79" s="25"/>
      <c r="AV79" s="21"/>
      <c r="AW79" s="22"/>
      <c r="AX79" s="2"/>
      <c r="AY79" s="23"/>
      <c r="AZ79" s="19"/>
      <c r="BA79" s="19"/>
      <c r="BB79" s="19"/>
      <c r="BC79" s="24"/>
      <c r="BG79" s="142"/>
      <c r="BR79" s="317"/>
      <c r="BS79" s="317"/>
      <c r="BT79" s="328"/>
      <c r="BU79" s="329"/>
      <c r="BV79" s="317"/>
      <c r="BW79" s="317"/>
      <c r="BX79" s="317"/>
      <c r="BY79" s="317"/>
      <c r="BZ79" s="317"/>
      <c r="CA79" s="317"/>
      <c r="CB79" s="317"/>
      <c r="CC79" s="317"/>
    </row>
    <row r="80" spans="1:81">
      <c r="A80" s="699"/>
      <c r="B80" s="23"/>
      <c r="C80" s="17" t="s">
        <v>34</v>
      </c>
      <c r="D80" s="57"/>
      <c r="E80" s="2"/>
      <c r="F80" s="2"/>
      <c r="G80" s="63"/>
      <c r="H80" s="2"/>
      <c r="I80" s="20"/>
      <c r="J80" s="21"/>
      <c r="K80" s="21"/>
      <c r="L80" s="22"/>
      <c r="M80" s="212"/>
      <c r="N80" s="23"/>
      <c r="O80" s="19"/>
      <c r="P80" s="19"/>
      <c r="Q80" s="19"/>
      <c r="R80" s="33"/>
      <c r="T80" s="201"/>
      <c r="U80" s="198"/>
      <c r="V80" s="198"/>
      <c r="W80" s="63"/>
      <c r="X80" s="2"/>
      <c r="Y80" s="2"/>
      <c r="Z80" s="2"/>
      <c r="AA80" s="68"/>
      <c r="AB80" s="21"/>
      <c r="AC80" s="21"/>
      <c r="AD80" s="21"/>
      <c r="AE80" s="21"/>
      <c r="AF80" s="355"/>
      <c r="AG80" s="20"/>
      <c r="AH80" s="21"/>
      <c r="AI80" s="21"/>
      <c r="AJ80" s="21"/>
      <c r="AK80" s="29"/>
      <c r="AL80" s="19"/>
      <c r="AM80" s="57"/>
      <c r="AN80" s="2"/>
      <c r="AO80" s="2"/>
      <c r="AP80" s="63"/>
      <c r="AQ80" s="68"/>
      <c r="AR80" s="21"/>
      <c r="AS80" s="21"/>
      <c r="AT80" s="21"/>
      <c r="AU80" s="25"/>
      <c r="AV80" s="21"/>
      <c r="AW80" s="22"/>
      <c r="AX80" s="2"/>
      <c r="AY80" s="23"/>
      <c r="AZ80" s="19"/>
      <c r="BA80" s="19"/>
      <c r="BB80" s="19"/>
      <c r="BC80" s="24"/>
      <c r="BR80" s="317"/>
      <c r="BS80" s="317"/>
      <c r="BT80" s="317"/>
      <c r="BU80" s="329"/>
      <c r="BV80" s="317"/>
      <c r="BW80" s="317"/>
      <c r="BX80" s="317"/>
      <c r="BY80" s="317"/>
      <c r="BZ80" s="317"/>
      <c r="CA80" s="317"/>
      <c r="CB80" s="317"/>
      <c r="CC80" s="317"/>
    </row>
    <row r="81" spans="1:81">
      <c r="A81" s="699"/>
      <c r="B81" s="23"/>
      <c r="C81" s="17" t="s">
        <v>35</v>
      </c>
      <c r="D81" s="57"/>
      <c r="E81" s="2"/>
      <c r="F81" s="2"/>
      <c r="G81" s="63"/>
      <c r="H81" s="2"/>
      <c r="I81" s="20"/>
      <c r="J81" s="21"/>
      <c r="K81" s="21"/>
      <c r="L81" s="22"/>
      <c r="M81" s="212"/>
      <c r="N81" s="23"/>
      <c r="O81" s="19"/>
      <c r="P81" s="19"/>
      <c r="Q81" s="19"/>
      <c r="R81" s="33"/>
      <c r="T81" s="201"/>
      <c r="U81" s="198"/>
      <c r="V81" s="198"/>
      <c r="W81" s="63"/>
      <c r="X81" s="2"/>
      <c r="Y81" s="2"/>
      <c r="Z81" s="2"/>
      <c r="AA81" s="68"/>
      <c r="AB81" s="21"/>
      <c r="AC81" s="21"/>
      <c r="AD81" s="21"/>
      <c r="AE81" s="21"/>
      <c r="AF81" s="355"/>
      <c r="AG81" s="20"/>
      <c r="AH81" s="21"/>
      <c r="AI81" s="21"/>
      <c r="AJ81" s="21"/>
      <c r="AK81" s="29"/>
      <c r="AL81" s="19"/>
      <c r="AM81" s="57"/>
      <c r="AN81" s="2"/>
      <c r="AO81" s="2"/>
      <c r="AP81" s="63"/>
      <c r="AQ81" s="68"/>
      <c r="AR81" s="21"/>
      <c r="AS81" s="21"/>
      <c r="AT81" s="21"/>
      <c r="AU81" s="25"/>
      <c r="AV81" s="21"/>
      <c r="AW81" s="22"/>
      <c r="AX81" s="2"/>
      <c r="AY81" s="23"/>
      <c r="AZ81" s="19"/>
      <c r="BA81" s="19"/>
      <c r="BB81" s="19"/>
      <c r="BC81" s="24"/>
      <c r="BR81" s="317"/>
      <c r="BS81" s="317"/>
      <c r="BT81" s="314"/>
      <c r="BU81" s="317"/>
      <c r="BV81" s="317"/>
      <c r="BW81" s="317"/>
      <c r="BX81" s="317"/>
      <c r="BY81" s="317"/>
      <c r="BZ81" s="317"/>
      <c r="CA81" s="317"/>
      <c r="CB81" s="317"/>
      <c r="CC81" s="317"/>
    </row>
    <row r="82" spans="1:81">
      <c r="A82" s="699"/>
      <c r="B82" s="23"/>
      <c r="C82" s="17" t="s">
        <v>36</v>
      </c>
      <c r="D82" s="57"/>
      <c r="E82" s="2"/>
      <c r="F82" s="2"/>
      <c r="G82" s="63"/>
      <c r="H82" s="2"/>
      <c r="I82" s="20"/>
      <c r="J82" s="21"/>
      <c r="K82" s="21"/>
      <c r="L82" s="22"/>
      <c r="M82" s="212"/>
      <c r="N82" s="23"/>
      <c r="O82" s="19"/>
      <c r="P82" s="19"/>
      <c r="Q82" s="19"/>
      <c r="R82" s="33"/>
      <c r="T82" s="201"/>
      <c r="U82" s="198"/>
      <c r="V82" s="198"/>
      <c r="W82" s="63"/>
      <c r="X82" s="2"/>
      <c r="Y82" s="2"/>
      <c r="Z82" s="2"/>
      <c r="AA82" s="68"/>
      <c r="AB82" s="21"/>
      <c r="AC82" s="21"/>
      <c r="AD82" s="21"/>
      <c r="AE82" s="21"/>
      <c r="AF82" s="355"/>
      <c r="AG82" s="20"/>
      <c r="AH82" s="21"/>
      <c r="AI82" s="21"/>
      <c r="AJ82" s="21"/>
      <c r="AK82" s="29"/>
      <c r="AL82" s="19"/>
      <c r="AM82" s="57"/>
      <c r="AN82" s="2"/>
      <c r="AO82" s="2"/>
      <c r="AP82" s="63"/>
      <c r="AQ82" s="68"/>
      <c r="AR82" s="21"/>
      <c r="AS82" s="21"/>
      <c r="AT82" s="21"/>
      <c r="AU82" s="25"/>
      <c r="AV82" s="21"/>
      <c r="AW82" s="22"/>
      <c r="AX82" s="2"/>
      <c r="AY82" s="23"/>
      <c r="AZ82" s="19"/>
      <c r="BA82" s="19"/>
      <c r="BB82" s="19"/>
      <c r="BC82" s="24"/>
      <c r="BR82" s="317"/>
      <c r="BS82" s="317"/>
      <c r="BT82" s="317"/>
      <c r="BU82" s="314"/>
      <c r="BV82" s="314"/>
      <c r="BW82" s="314"/>
      <c r="BX82" s="314"/>
      <c r="BY82" s="314"/>
      <c r="BZ82" s="314"/>
      <c r="CA82" s="314"/>
      <c r="CB82" s="314"/>
      <c r="CC82" s="317"/>
    </row>
    <row r="83" spans="1:81" s="90" customFormat="1">
      <c r="A83" s="699"/>
      <c r="B83" s="91" t="s">
        <v>43</v>
      </c>
      <c r="C83" s="92"/>
      <c r="D83" s="93"/>
      <c r="E83" s="94"/>
      <c r="F83" s="94"/>
      <c r="G83" s="95"/>
      <c r="H83" s="94"/>
      <c r="I83" s="96">
        <f>D97*[2]VIC!D$21/(1-[2]VIC!$D$25)</f>
        <v>139583.9696283149</v>
      </c>
      <c r="J83" s="97">
        <f>E97*[2]VIC!E$31*[2]VIC!E$21/(1-[2]VIC!$E$25)</f>
        <v>136550.29652556957</v>
      </c>
      <c r="K83" s="97">
        <f>E97*[2]VIC!F$31*[2]VIC!F$21/(1-[2]VIC!$F$25)</f>
        <v>5925.5553010271897</v>
      </c>
      <c r="L83" s="98">
        <f>SUM(I83:K83)</f>
        <v>282059.82145491167</v>
      </c>
      <c r="M83" s="562"/>
      <c r="N83" s="96">
        <f>I83-AU83</f>
        <v>139583.9696283149</v>
      </c>
      <c r="O83" s="97">
        <f>J83-AV83</f>
        <v>136550.29652556957</v>
      </c>
      <c r="P83" s="97">
        <f>K83-AW83</f>
        <v>5925.5553010271897</v>
      </c>
      <c r="Q83" s="97">
        <f>SUM(N83:P83)</f>
        <v>282059.82145491167</v>
      </c>
      <c r="R83" s="99">
        <f>Q83/[2]Popn!$H$42*1000</f>
        <v>51.799034906735677</v>
      </c>
      <c r="T83" s="201"/>
      <c r="U83" s="198"/>
      <c r="V83" s="198"/>
      <c r="W83" s="95"/>
      <c r="X83" s="94"/>
      <c r="Y83" s="94"/>
      <c r="Z83" s="94"/>
      <c r="AA83" s="100"/>
      <c r="AB83" s="97"/>
      <c r="AC83" s="97"/>
      <c r="AD83" s="97"/>
      <c r="AE83" s="97"/>
      <c r="AF83" s="568"/>
      <c r="AG83" s="96"/>
      <c r="AH83" s="97"/>
      <c r="AI83" s="97"/>
      <c r="AJ83" s="97"/>
      <c r="AK83" s="102"/>
      <c r="AL83" s="103"/>
      <c r="AM83" s="93"/>
      <c r="AN83" s="94"/>
      <c r="AO83" s="94"/>
      <c r="AP83" s="95"/>
      <c r="AQ83" s="100"/>
      <c r="AR83" s="97"/>
      <c r="AS83" s="97"/>
      <c r="AT83" s="97"/>
      <c r="AU83" s="104"/>
      <c r="AV83" s="97"/>
      <c r="AW83" s="98"/>
      <c r="AX83" s="94"/>
      <c r="AY83" s="96"/>
      <c r="AZ83" s="97"/>
      <c r="BA83" s="97"/>
      <c r="BB83" s="97"/>
      <c r="BC83" s="105"/>
      <c r="BG83" s="143"/>
      <c r="BR83" s="334"/>
      <c r="BS83" s="334"/>
      <c r="BT83" s="317"/>
      <c r="BU83" s="317"/>
      <c r="BV83" s="317"/>
      <c r="BW83" s="317"/>
      <c r="BX83" s="317"/>
      <c r="BY83" s="317"/>
      <c r="BZ83" s="317"/>
      <c r="CA83" s="317"/>
      <c r="CB83" s="317"/>
      <c r="CC83" s="334"/>
    </row>
    <row r="84" spans="1:81" s="106" customFormat="1">
      <c r="A84" s="699"/>
      <c r="B84" s="107" t="s">
        <v>67</v>
      </c>
      <c r="C84" s="108"/>
      <c r="D84" s="109"/>
      <c r="E84" s="110"/>
      <c r="F84" s="110"/>
      <c r="G84" s="111"/>
      <c r="H84" s="110"/>
      <c r="I84" s="112"/>
      <c r="J84" s="113"/>
      <c r="K84" s="113"/>
      <c r="L84" s="114"/>
      <c r="M84" s="562"/>
      <c r="N84" s="112">
        <f>N78+N83</f>
        <v>240394.61435987568</v>
      </c>
      <c r="O84" s="113">
        <f>O78+O83</f>
        <v>251376.68224025308</v>
      </c>
      <c r="P84" s="113">
        <f>P78+P83</f>
        <v>18764.258453252765</v>
      </c>
      <c r="Q84" s="113">
        <f>Q78+Q83</f>
        <v>510535.55505338154</v>
      </c>
      <c r="R84" s="115">
        <f>R78+R83</f>
        <v>93.757589794004588</v>
      </c>
      <c r="T84" s="201"/>
      <c r="U84" s="198"/>
      <c r="V84" s="198"/>
      <c r="W84" s="111"/>
      <c r="X84" s="130">
        <f>[2]PACIA!$C$48*[2]PACIA!I48</f>
        <v>59291.080999999998</v>
      </c>
      <c r="Y84" s="130">
        <f>[2]PACIA!$C$48*[2]PACIA!J48</f>
        <v>92110.164999999994</v>
      </c>
      <c r="Z84" s="130">
        <f>[2]PACIA!$C$48*[2]PACIA!K48</f>
        <v>3405.7539999999999</v>
      </c>
      <c r="AA84" s="116"/>
      <c r="AB84" s="113"/>
      <c r="AC84" s="113"/>
      <c r="AD84" s="113"/>
      <c r="AE84" s="113"/>
      <c r="AF84" s="355" t="s">
        <v>197</v>
      </c>
      <c r="AG84" s="112">
        <f>X84</f>
        <v>59291.080999999998</v>
      </c>
      <c r="AH84" s="113">
        <f>Y84</f>
        <v>92110.164999999994</v>
      </c>
      <c r="AI84" s="113">
        <f>Z84</f>
        <v>3405.7539999999999</v>
      </c>
      <c r="AJ84" s="114">
        <f>SUM(AG84:AI84)</f>
        <v>154806.99999999997</v>
      </c>
      <c r="AK84" s="118">
        <f>AJ84/[2]Popn!$H$42*1000</f>
        <v>28.429618778897485</v>
      </c>
      <c r="AL84" s="119"/>
      <c r="AM84" s="109"/>
      <c r="AN84" s="110"/>
      <c r="AO84" s="110"/>
      <c r="AP84" s="111"/>
      <c r="AQ84" s="116"/>
      <c r="AR84" s="113"/>
      <c r="AS84" s="113"/>
      <c r="AT84" s="113"/>
      <c r="AU84" s="120"/>
      <c r="AV84" s="113"/>
      <c r="AW84" s="114"/>
      <c r="AX84" s="110"/>
      <c r="AY84" s="112">
        <f>AY78+AY83</f>
        <v>0</v>
      </c>
      <c r="AZ84" s="113">
        <f>AZ78+AZ83</f>
        <v>0</v>
      </c>
      <c r="BA84" s="113">
        <f>BA78+BA83</f>
        <v>0</v>
      </c>
      <c r="BB84" s="113">
        <f>BB78+BB83</f>
        <v>0</v>
      </c>
      <c r="BC84" s="115">
        <f>BC78+BC83</f>
        <v>0</v>
      </c>
      <c r="BG84" s="144"/>
      <c r="BR84" s="314"/>
      <c r="BS84" s="314"/>
      <c r="BT84" s="317"/>
      <c r="BU84" s="317"/>
      <c r="BV84" s="317"/>
      <c r="BW84" s="317"/>
      <c r="BX84" s="317"/>
      <c r="BY84" s="317"/>
      <c r="BZ84" s="317"/>
      <c r="CA84" s="317"/>
      <c r="CB84" s="317"/>
      <c r="CC84" s="314"/>
    </row>
    <row r="85" spans="1:81" s="106" customFormat="1">
      <c r="A85" s="699"/>
      <c r="B85" s="37" t="s">
        <v>8</v>
      </c>
      <c r="C85" s="129" t="s">
        <v>8</v>
      </c>
      <c r="D85" s="109"/>
      <c r="E85" s="110"/>
      <c r="F85" s="110"/>
      <c r="G85" s="111"/>
      <c r="H85" s="110"/>
      <c r="I85" s="112">
        <f>D97*[2]VIC!D$19/(1-[2]VIC!$D$25)</f>
        <v>72376.873140607742</v>
      </c>
      <c r="J85" s="113">
        <f>E97*[2]VIC!E$31*[2]VIC!E$19/(1-[2]VIC!$E$25)</f>
        <v>31034.158301265816</v>
      </c>
      <c r="K85" s="113">
        <f>E97*[2]VIC!F$31*[2]VIC!F$19/(1-[2]VIC!$F$25)</f>
        <v>987.59255017119824</v>
      </c>
      <c r="L85" s="114">
        <f>SUM(I85:K85)</f>
        <v>104398.62399204476</v>
      </c>
      <c r="M85" s="562"/>
      <c r="N85" s="112">
        <f>I85-AU85</f>
        <v>72376.873140607742</v>
      </c>
      <c r="O85" s="113">
        <f>J85-AV85</f>
        <v>31034.158301265816</v>
      </c>
      <c r="P85" s="113">
        <f>K85-AW85</f>
        <v>987.59255017119824</v>
      </c>
      <c r="Q85" s="113">
        <f>SUM(N85:P85)</f>
        <v>104398.62399204476</v>
      </c>
      <c r="R85" s="115">
        <f>Q85/[2]Popn!$H$42*1000</f>
        <v>19.17234415197823</v>
      </c>
      <c r="T85" s="202">
        <f>SUMIF([2]VIC!$D$150:$D$181,$C85,[2]VIC!K$150:K$181)</f>
        <v>108747</v>
      </c>
      <c r="U85" s="130">
        <f>SUMIF([2]VIC!$D$150:$D$181,$C85,[2]VIC!L$150:L$181)</f>
        <v>31252</v>
      </c>
      <c r="V85" s="130">
        <f>SUMIF([2]VIC!$D$150:$D$181,$C85,[2]VIC!M$150:M$181)</f>
        <v>16118</v>
      </c>
      <c r="W85" s="111"/>
      <c r="X85" s="110"/>
      <c r="Y85" s="110"/>
      <c r="Z85" s="110"/>
      <c r="AA85" s="116"/>
      <c r="AB85" s="113"/>
      <c r="AC85" s="113"/>
      <c r="AD85" s="113"/>
      <c r="AE85" s="113"/>
      <c r="AF85" s="567"/>
      <c r="AG85" s="112">
        <f t="shared" ref="AG85:AI87" si="30">T85</f>
        <v>108747</v>
      </c>
      <c r="AH85" s="113">
        <f t="shared" si="30"/>
        <v>31252</v>
      </c>
      <c r="AI85" s="113">
        <f t="shared" si="30"/>
        <v>16118</v>
      </c>
      <c r="AJ85" s="113">
        <f>SUM(AG85:AI85)</f>
        <v>156117</v>
      </c>
      <c r="AK85" s="118">
        <f>AJ85/[2]Popn!$H$42*1000</f>
        <v>28.670194467337652</v>
      </c>
      <c r="AL85" s="119"/>
      <c r="AM85" s="109"/>
      <c r="AN85" s="110"/>
      <c r="AO85" s="110"/>
      <c r="AP85" s="111"/>
      <c r="AQ85" s="116"/>
      <c r="AR85" s="113"/>
      <c r="AS85" s="113"/>
      <c r="AT85" s="113"/>
      <c r="AU85" s="120"/>
      <c r="AV85" s="113"/>
      <c r="AW85" s="114"/>
      <c r="AX85" s="110"/>
      <c r="AY85" s="112"/>
      <c r="AZ85" s="113"/>
      <c r="BA85" s="113"/>
      <c r="BB85" s="113"/>
      <c r="BC85" s="121"/>
      <c r="BG85" s="144"/>
      <c r="BR85" s="314"/>
      <c r="BS85" s="314"/>
      <c r="BT85" s="314"/>
      <c r="BU85" s="317"/>
      <c r="BV85" s="317"/>
      <c r="BW85" s="317"/>
      <c r="BX85" s="317"/>
      <c r="BY85" s="317"/>
      <c r="BZ85" s="317"/>
      <c r="CA85" s="317"/>
      <c r="CB85" s="317"/>
      <c r="CC85" s="314"/>
    </row>
    <row r="86" spans="1:81">
      <c r="A86" s="699"/>
      <c r="B86" s="23" t="s">
        <v>7</v>
      </c>
      <c r="C86" s="17" t="s">
        <v>9</v>
      </c>
      <c r="D86" s="57"/>
      <c r="E86" s="2"/>
      <c r="F86" s="2"/>
      <c r="G86" s="63"/>
      <c r="H86" s="2"/>
      <c r="I86" s="20">
        <f>D97*[2]VIC!D$17/(1-[2]VIC!$D$25)</f>
        <v>69791.984814157448</v>
      </c>
      <c r="J86" s="21">
        <f>E97*[2]VIC!E$31*[2]VIC!E$17/(1-[2]VIC!$E$25)</f>
        <v>100861.0144791139</v>
      </c>
      <c r="K86" s="21">
        <f>E97*[2]VIC!F$31*[2]VIC!F$17/(1-[2]VIC!$F$25)</f>
        <v>12838.703152225577</v>
      </c>
      <c r="L86" s="22">
        <f>SUM(I86:K86)</f>
        <v>183491.70244549692</v>
      </c>
      <c r="M86" s="212" t="s">
        <v>54</v>
      </c>
      <c r="N86" s="20"/>
      <c r="O86" s="21"/>
      <c r="P86" s="21"/>
      <c r="Q86" s="21"/>
      <c r="R86" s="34"/>
      <c r="T86" s="201">
        <f>SUMIF([2]VIC!$D$150:$D$181,$C86,[2]VIC!K$150:K$181)</f>
        <v>4497.8</v>
      </c>
      <c r="U86" s="198">
        <f>SUMIF([2]VIC!$D$150:$D$181,$C86,[2]VIC!L$150:L$181)</f>
        <v>0</v>
      </c>
      <c r="V86" s="198">
        <f>SUMIF([2]VIC!$D$150:$D$181,$C86,[2]VIC!M$150:M$181)</f>
        <v>0</v>
      </c>
      <c r="W86" s="63"/>
      <c r="X86" s="2"/>
      <c r="Y86" s="2"/>
      <c r="Z86" s="2"/>
      <c r="AA86" s="68"/>
      <c r="AB86" s="21"/>
      <c r="AC86" s="21"/>
      <c r="AD86" s="21"/>
      <c r="AE86" s="21"/>
      <c r="AF86" s="355"/>
      <c r="AG86" s="20">
        <f t="shared" si="30"/>
        <v>4497.8</v>
      </c>
      <c r="AH86" s="21">
        <f t="shared" si="30"/>
        <v>0</v>
      </c>
      <c r="AI86" s="21">
        <f t="shared" si="30"/>
        <v>0</v>
      </c>
      <c r="AJ86" s="21">
        <f>SUM(AG86:AI86)</f>
        <v>4497.8</v>
      </c>
      <c r="AK86" s="29">
        <f>AJ86/[2]Popn!$H$42*1000</f>
        <v>0.82600101638637236</v>
      </c>
      <c r="AL86" s="19"/>
      <c r="AM86" s="57"/>
      <c r="AN86" s="2"/>
      <c r="AO86" s="2"/>
      <c r="AP86" s="63"/>
      <c r="AQ86" s="68"/>
      <c r="AR86" s="21"/>
      <c r="AS86" s="35"/>
      <c r="AT86" s="21"/>
      <c r="AU86" s="25"/>
      <c r="AV86" s="21"/>
      <c r="AW86" s="22"/>
      <c r="AX86" s="2"/>
      <c r="AY86" s="20"/>
      <c r="AZ86" s="21"/>
      <c r="BA86" s="21"/>
      <c r="BB86" s="21"/>
      <c r="BC86" s="29"/>
      <c r="BR86" s="337"/>
      <c r="BS86" s="337"/>
      <c r="BT86" s="337"/>
      <c r="BU86" s="314"/>
      <c r="BV86" s="314"/>
      <c r="BW86" s="314"/>
      <c r="BX86" s="314"/>
      <c r="BY86" s="314"/>
      <c r="BZ86" s="314"/>
      <c r="CA86" s="314"/>
      <c r="CB86" s="314"/>
      <c r="CC86" s="337"/>
    </row>
    <row r="87" spans="1:81">
      <c r="A87" s="699"/>
      <c r="B87" s="23"/>
      <c r="C87" s="17" t="s">
        <v>10</v>
      </c>
      <c r="D87" s="57"/>
      <c r="E87" s="2"/>
      <c r="F87" s="2"/>
      <c r="G87" s="63"/>
      <c r="H87" s="2"/>
      <c r="I87" s="20"/>
      <c r="J87" s="21"/>
      <c r="K87" s="21"/>
      <c r="L87" s="22"/>
      <c r="M87" s="212"/>
      <c r="N87" s="23"/>
      <c r="O87" s="19"/>
      <c r="P87" s="19"/>
      <c r="Q87" s="19"/>
      <c r="R87" s="33"/>
      <c r="T87" s="201">
        <f>SUMIF([2]VIC!$D$150:$D$181,$C87,[2]VIC!K$150:K$181)</f>
        <v>54894.434999999998</v>
      </c>
      <c r="U87" s="198">
        <f>SUMIF([2]VIC!$D$150:$D$181,$C87,[2]VIC!L$150:L$181)-AN87</f>
        <v>149020.67749999999</v>
      </c>
      <c r="V87" s="198">
        <f>SUMIF([2]VIC!$D$150:$D$181,$C87,[2]VIC!M$150:M$181)</f>
        <v>742</v>
      </c>
      <c r="W87" s="63"/>
      <c r="X87" s="2"/>
      <c r="Y87" s="2"/>
      <c r="Z87" s="2"/>
      <c r="AA87" s="68"/>
      <c r="AB87" s="21"/>
      <c r="AC87" s="21"/>
      <c r="AD87" s="21"/>
      <c r="AE87" s="21"/>
      <c r="AF87" s="355"/>
      <c r="AG87" s="20">
        <f t="shared" si="30"/>
        <v>54894.434999999998</v>
      </c>
      <c r="AH87" s="21">
        <f t="shared" si="30"/>
        <v>149020.67749999999</v>
      </c>
      <c r="AI87" s="21">
        <f t="shared" si="30"/>
        <v>742</v>
      </c>
      <c r="AJ87" s="21">
        <f>SUM(AG87:AI87)</f>
        <v>204657.11249999999</v>
      </c>
      <c r="AK87" s="29">
        <f>AJ87/[2]Popn!$H$42*1000</f>
        <v>37.584370789208087</v>
      </c>
      <c r="AL87" s="19"/>
      <c r="AM87" s="57"/>
      <c r="AN87" s="294">
        <f>[2]VIC!$D$39</f>
        <v>765.94</v>
      </c>
      <c r="AO87" s="2"/>
      <c r="AP87" s="295">
        <f>SUM(AM87:AO87)</f>
        <v>765.94</v>
      </c>
      <c r="AQ87" s="68"/>
      <c r="AR87" s="21"/>
      <c r="AS87" s="35"/>
      <c r="AT87" s="21"/>
      <c r="AU87" s="25"/>
      <c r="AV87" s="21"/>
      <c r="AW87" s="22"/>
      <c r="AX87" s="2"/>
      <c r="AY87" s="23"/>
      <c r="AZ87" s="21">
        <f>AN87</f>
        <v>765.94</v>
      </c>
      <c r="BA87" s="19"/>
      <c r="BB87" s="21"/>
      <c r="BC87" s="29"/>
      <c r="BR87" s="337"/>
      <c r="BS87" s="337"/>
      <c r="BT87" s="337"/>
      <c r="BU87" s="338" t="s">
        <v>2</v>
      </c>
      <c r="BV87" s="337"/>
      <c r="BW87" s="337"/>
      <c r="BX87" s="337"/>
      <c r="BY87" s="337"/>
      <c r="BZ87" s="337"/>
      <c r="CA87" s="337"/>
      <c r="CB87" s="337"/>
      <c r="CC87" s="337"/>
    </row>
    <row r="88" spans="1:81" s="106" customFormat="1">
      <c r="A88" s="699"/>
      <c r="B88" s="107" t="s">
        <v>67</v>
      </c>
      <c r="C88" s="108"/>
      <c r="D88" s="109"/>
      <c r="E88" s="110"/>
      <c r="F88" s="110"/>
      <c r="G88" s="111"/>
      <c r="H88" s="110"/>
      <c r="I88" s="112">
        <f>SUM(I86:I87)</f>
        <v>69791.984814157448</v>
      </c>
      <c r="J88" s="113">
        <f>SUM(J86:J87)</f>
        <v>100861.0144791139</v>
      </c>
      <c r="K88" s="113">
        <f>SUM(K86:K87)</f>
        <v>12838.703152225577</v>
      </c>
      <c r="L88" s="114">
        <f>SUM(L86:L87)</f>
        <v>183491.70244549692</v>
      </c>
      <c r="M88" s="562"/>
      <c r="N88" s="112">
        <f>I88-AU88</f>
        <v>62370.177248606808</v>
      </c>
      <c r="O88" s="113">
        <f>J88-AV88</f>
        <v>96781.423792703703</v>
      </c>
      <c r="P88" s="113">
        <f>K88-AW88</f>
        <v>12553.258889039003</v>
      </c>
      <c r="Q88" s="114">
        <f>SUM(N88:P88)</f>
        <v>171704.85993034951</v>
      </c>
      <c r="R88" s="115">
        <f>Q88/[2]Popn!$H$42*1000</f>
        <v>31.532835791041929</v>
      </c>
      <c r="T88" s="109"/>
      <c r="U88" s="110"/>
      <c r="V88" s="110"/>
      <c r="W88" s="111"/>
      <c r="X88" s="110"/>
      <c r="Y88" s="110"/>
      <c r="Z88" s="110"/>
      <c r="AA88" s="116"/>
      <c r="AB88" s="113"/>
      <c r="AC88" s="113"/>
      <c r="AD88" s="113"/>
      <c r="AE88" s="113"/>
      <c r="AF88" s="567"/>
      <c r="AG88" s="112">
        <f>SUM(AG86:AG87)</f>
        <v>59392.235000000001</v>
      </c>
      <c r="AH88" s="113">
        <f>SUM(AH86:AH87)</f>
        <v>149020.67749999999</v>
      </c>
      <c r="AI88" s="113">
        <f>SUM(AI86:AI87)</f>
        <v>742</v>
      </c>
      <c r="AJ88" s="113">
        <f>SUM(AJ86:AJ87)</f>
        <v>209154.91249999998</v>
      </c>
      <c r="AK88" s="118">
        <f>SUM(AK86:AK87)</f>
        <v>38.410371805594458</v>
      </c>
      <c r="AL88" s="119"/>
      <c r="AM88" s="109"/>
      <c r="AN88" s="110"/>
      <c r="AO88" s="110"/>
      <c r="AP88" s="111"/>
      <c r="AQ88" s="116"/>
      <c r="AR88" s="113">
        <f>L88*'[2]Lfill en &amp; composn'!$D$25</f>
        <v>28899.943135165766</v>
      </c>
      <c r="AS88" s="123">
        <f>AR88/SUM($AR$54:$AR$96)</f>
        <v>8.090288506614926E-2</v>
      </c>
      <c r="AT88" s="113">
        <f>AS88*'[2]Lfill en &amp; composn'!$H$64/'[2]Lfill en &amp; composn'!$B$25</f>
        <v>19512.843903953628</v>
      </c>
      <c r="AU88" s="120">
        <f>AT88*I88/$L88</f>
        <v>7421.8075655506418</v>
      </c>
      <c r="AV88" s="113">
        <f>AU88*J88/$L88</f>
        <v>4079.5906864101971</v>
      </c>
      <c r="AW88" s="114">
        <f>AV88*K88/$L88</f>
        <v>285.44426318657264</v>
      </c>
      <c r="AX88" s="110"/>
      <c r="AY88" s="112">
        <f>AU88</f>
        <v>7421.8075655506418</v>
      </c>
      <c r="AZ88" s="113">
        <f>AV88+AZ87</f>
        <v>4845.5306864101967</v>
      </c>
      <c r="BA88" s="113">
        <f>AW88</f>
        <v>285.44426318657264</v>
      </c>
      <c r="BB88" s="113">
        <f>SUM(AY88:BA88)</f>
        <v>12552.782515147412</v>
      </c>
      <c r="BC88" s="118">
        <f>BB88/[2]Popn!$H$42*1000</f>
        <v>2.305262820932199</v>
      </c>
      <c r="BD88" s="122"/>
      <c r="BG88" s="144"/>
      <c r="BR88" s="340"/>
      <c r="BS88" s="340"/>
      <c r="BT88" s="340"/>
      <c r="BU88" s="337"/>
      <c r="BV88" s="339" t="s">
        <v>72</v>
      </c>
      <c r="BW88" s="339" t="s">
        <v>68</v>
      </c>
      <c r="BX88" s="339" t="s">
        <v>69</v>
      </c>
      <c r="BY88" s="337"/>
      <c r="BZ88" s="337"/>
      <c r="CA88" s="337"/>
      <c r="CB88" s="337"/>
      <c r="CC88" s="340"/>
    </row>
    <row r="89" spans="1:81">
      <c r="A89" s="699"/>
      <c r="B89" s="23" t="s">
        <v>11</v>
      </c>
      <c r="C89" s="17" t="s">
        <v>12</v>
      </c>
      <c r="D89" s="57"/>
      <c r="E89" s="2"/>
      <c r="F89" s="2"/>
      <c r="G89" s="63"/>
      <c r="H89" s="2"/>
      <c r="I89" s="20"/>
      <c r="J89" s="21"/>
      <c r="K89" s="21"/>
      <c r="L89" s="22"/>
      <c r="M89" s="212"/>
      <c r="N89" s="23"/>
      <c r="O89" s="19"/>
      <c r="P89" s="19"/>
      <c r="Q89" s="19"/>
      <c r="R89" s="33"/>
      <c r="T89" s="57"/>
      <c r="U89" s="2"/>
      <c r="V89" s="2"/>
      <c r="W89" s="63"/>
      <c r="X89" s="2"/>
      <c r="Y89" s="2"/>
      <c r="Z89" s="2"/>
      <c r="AA89" s="68"/>
      <c r="AB89" s="21"/>
      <c r="AC89" s="21"/>
      <c r="AD89" s="21"/>
      <c r="AE89" s="21"/>
      <c r="AF89" s="355"/>
      <c r="AG89" s="20"/>
      <c r="AH89" s="21"/>
      <c r="AI89" s="21"/>
      <c r="AJ89" s="21"/>
      <c r="AK89" s="29"/>
      <c r="AL89" s="19"/>
      <c r="AM89" s="57"/>
      <c r="AN89" s="2"/>
      <c r="AO89" s="2"/>
      <c r="AP89" s="63"/>
      <c r="AQ89" s="68"/>
      <c r="AR89" s="21"/>
      <c r="AS89" s="21"/>
      <c r="AT89" s="21"/>
      <c r="AU89" s="25"/>
      <c r="AV89" s="21"/>
      <c r="AW89" s="22"/>
      <c r="AX89" s="2"/>
      <c r="AY89" s="23"/>
      <c r="AZ89" s="19"/>
      <c r="BA89" s="19"/>
      <c r="BB89" s="19"/>
      <c r="BC89" s="24"/>
      <c r="BR89" s="337"/>
      <c r="BS89" s="337"/>
      <c r="BT89" s="337"/>
      <c r="BU89" s="349" t="s">
        <v>100</v>
      </c>
      <c r="BV89" s="341">
        <f>BH166</f>
        <v>1710.1452700452412</v>
      </c>
      <c r="BW89" s="341">
        <f>BI166</f>
        <v>756.26499999999999</v>
      </c>
      <c r="BX89" s="341">
        <f>BJ166</f>
        <v>207.02861327429434</v>
      </c>
      <c r="BY89" s="340"/>
      <c r="BZ89" s="340"/>
      <c r="CA89" s="340"/>
      <c r="CB89" s="340"/>
      <c r="CC89" s="337"/>
    </row>
    <row r="90" spans="1:81">
      <c r="A90" s="699"/>
      <c r="B90" s="23"/>
      <c r="C90" s="17" t="s">
        <v>13</v>
      </c>
      <c r="D90" s="57"/>
      <c r="E90" s="2"/>
      <c r="F90" s="2"/>
      <c r="G90" s="156">
        <f>'[2]Haz-Vic'!$F$31+'[2]Haz-Vic'!$F$34</f>
        <v>246833</v>
      </c>
      <c r="H90" s="3"/>
      <c r="I90" s="20"/>
      <c r="J90" s="21"/>
      <c r="K90" s="21">
        <f>G90</f>
        <v>246833</v>
      </c>
      <c r="L90" s="22">
        <f>G90</f>
        <v>246833</v>
      </c>
      <c r="M90" s="212" t="s">
        <v>84</v>
      </c>
      <c r="N90" s="20"/>
      <c r="O90" s="21"/>
      <c r="P90" s="21">
        <f>K90</f>
        <v>246833</v>
      </c>
      <c r="Q90" s="21">
        <f>SUM(N90:P90)</f>
        <v>246833</v>
      </c>
      <c r="R90" s="34">
        <f>Q90/[2]Popn!$H$42*1000</f>
        <v>45.329785423473126</v>
      </c>
      <c r="T90" s="57"/>
      <c r="U90" s="2"/>
      <c r="V90" s="2"/>
      <c r="W90" s="64"/>
      <c r="X90" s="3"/>
      <c r="Y90" s="3"/>
      <c r="Z90" s="3"/>
      <c r="AA90" s="69"/>
      <c r="AB90" s="21"/>
      <c r="AC90" s="21"/>
      <c r="AD90" s="21"/>
      <c r="AE90" s="21"/>
      <c r="AF90" s="355"/>
      <c r="AG90" s="20"/>
      <c r="AH90" s="21"/>
      <c r="AI90" s="21"/>
      <c r="AJ90" s="21"/>
      <c r="AK90" s="29"/>
      <c r="AL90" s="19"/>
      <c r="AM90" s="57"/>
      <c r="AN90" s="2"/>
      <c r="AO90" s="2"/>
      <c r="AP90" s="64"/>
      <c r="AQ90" s="69"/>
      <c r="AR90" s="21"/>
      <c r="AS90" s="21"/>
      <c r="AT90" s="21"/>
      <c r="AU90" s="25"/>
      <c r="AV90" s="21"/>
      <c r="AW90" s="22"/>
      <c r="AX90" s="2"/>
      <c r="AY90" s="20"/>
      <c r="AZ90" s="21"/>
      <c r="BA90" s="21"/>
      <c r="BB90" s="21"/>
      <c r="BC90" s="24"/>
      <c r="BR90" s="337"/>
      <c r="BS90" s="348"/>
      <c r="BT90" s="347" t="s">
        <v>107</v>
      </c>
      <c r="BU90" s="350" t="s">
        <v>104</v>
      </c>
      <c r="BV90" s="313">
        <f>AVERAGE(BV89,BV91)</f>
        <v>1665.9647992104315</v>
      </c>
      <c r="BW90" s="313">
        <f>AVERAGE(BW89,BW91)</f>
        <v>760.86500000000001</v>
      </c>
      <c r="BX90" s="313">
        <f>AVERAGE(BX89,BX91)</f>
        <v>206.0109761452245</v>
      </c>
      <c r="BY90" s="337"/>
      <c r="BZ90" s="337"/>
      <c r="CA90" s="337"/>
      <c r="CB90" s="337"/>
      <c r="CC90" s="337"/>
    </row>
    <row r="91" spans="1:81">
      <c r="A91" s="699"/>
      <c r="B91" s="23"/>
      <c r="C91" s="17" t="s">
        <v>14</v>
      </c>
      <c r="D91" s="57"/>
      <c r="E91" s="2"/>
      <c r="F91" s="2"/>
      <c r="G91" s="156">
        <f>'[2]Haz-Vic'!$F$32+'[2]Haz-Vic'!$F$35</f>
        <v>47395</v>
      </c>
      <c r="H91" s="3"/>
      <c r="I91" s="20"/>
      <c r="J91" s="21">
        <f>G91</f>
        <v>47395</v>
      </c>
      <c r="K91" s="21"/>
      <c r="L91" s="22">
        <f>G91</f>
        <v>47395</v>
      </c>
      <c r="M91" s="212" t="s">
        <v>85</v>
      </c>
      <c r="N91" s="23"/>
      <c r="O91" s="21">
        <f>J91</f>
        <v>47395</v>
      </c>
      <c r="P91" s="19"/>
      <c r="Q91" s="21">
        <f>SUM(N91:P91)</f>
        <v>47395</v>
      </c>
      <c r="R91" s="34">
        <f>Q91/[2]Popn!$H$42*1000</f>
        <v>8.7038814913140019</v>
      </c>
      <c r="T91" s="57"/>
      <c r="U91" s="2"/>
      <c r="V91" s="2"/>
      <c r="W91" s="64"/>
      <c r="X91" s="3"/>
      <c r="Y91" s="3"/>
      <c r="Z91" s="3"/>
      <c r="AA91" s="69"/>
      <c r="AB91" s="21"/>
      <c r="AC91" s="21"/>
      <c r="AD91" s="21"/>
      <c r="AE91" s="21"/>
      <c r="AF91" s="355"/>
      <c r="AG91" s="20"/>
      <c r="AH91" s="21"/>
      <c r="AI91" s="21"/>
      <c r="AJ91" s="21"/>
      <c r="AK91" s="29"/>
      <c r="AL91" s="19"/>
      <c r="AM91" s="57"/>
      <c r="AN91" s="2"/>
      <c r="AO91" s="2"/>
      <c r="AP91" s="64"/>
      <c r="AQ91" s="296">
        <f>[2]VIC!$S$354</f>
        <v>13264</v>
      </c>
      <c r="AR91" s="21"/>
      <c r="AS91" s="21"/>
      <c r="AT91" s="21"/>
      <c r="AU91" s="25"/>
      <c r="AV91" s="21"/>
      <c r="AW91" s="22"/>
      <c r="AX91" s="2"/>
      <c r="AY91" s="23"/>
      <c r="AZ91" s="19"/>
      <c r="BA91" s="19"/>
      <c r="BB91" s="21"/>
      <c r="BC91" s="24"/>
      <c r="BR91" s="337"/>
      <c r="BS91" s="337"/>
      <c r="BT91" s="337"/>
      <c r="BU91" s="351" t="s">
        <v>101</v>
      </c>
      <c r="BV91" s="341">
        <f>BH119</f>
        <v>1621.7843283756217</v>
      </c>
      <c r="BW91" s="341">
        <f>BI119</f>
        <v>765.46500000000003</v>
      </c>
      <c r="BX91" s="341">
        <f>BJ119</f>
        <v>204.99333901615464</v>
      </c>
      <c r="BY91" s="337"/>
      <c r="BZ91" s="337"/>
      <c r="CA91" s="337"/>
      <c r="CB91" s="337"/>
      <c r="CC91" s="337"/>
    </row>
    <row r="92" spans="1:81">
      <c r="A92" s="699"/>
      <c r="B92" s="23"/>
      <c r="C92" s="17" t="s">
        <v>15</v>
      </c>
      <c r="D92" s="57"/>
      <c r="E92" s="2"/>
      <c r="F92" s="2"/>
      <c r="G92" s="156">
        <f>'[2]Haz-Vic'!$F$33</f>
        <v>51654</v>
      </c>
      <c r="H92" s="3"/>
      <c r="I92" s="20"/>
      <c r="J92" s="21">
        <f>G92</f>
        <v>51654</v>
      </c>
      <c r="K92" s="21"/>
      <c r="L92" s="22">
        <f>G92</f>
        <v>51654</v>
      </c>
      <c r="M92" s="212" t="s">
        <v>85</v>
      </c>
      <c r="N92" s="23"/>
      <c r="O92" s="21">
        <f>J92</f>
        <v>51654</v>
      </c>
      <c r="P92" s="19"/>
      <c r="Q92" s="21">
        <f>SUM(N92:P92)</f>
        <v>51654</v>
      </c>
      <c r="R92" s="34">
        <f>Q92/[2]Popn!$H$42*1000</f>
        <v>9.4860279470900597</v>
      </c>
      <c r="T92" s="57"/>
      <c r="U92" s="2"/>
      <c r="V92" s="2"/>
      <c r="W92" s="64"/>
      <c r="X92" s="3"/>
      <c r="Y92" s="3"/>
      <c r="Z92" s="3"/>
      <c r="AA92" s="69"/>
      <c r="AB92" s="21"/>
      <c r="AC92" s="21"/>
      <c r="AD92" s="21"/>
      <c r="AE92" s="21"/>
      <c r="AF92" s="355"/>
      <c r="AG92" s="20"/>
      <c r="AH92" s="21"/>
      <c r="AI92" s="21"/>
      <c r="AJ92" s="21"/>
      <c r="AK92" s="29"/>
      <c r="AL92" s="19"/>
      <c r="AM92" s="57"/>
      <c r="AN92" s="2"/>
      <c r="AO92" s="2"/>
      <c r="AP92" s="64"/>
      <c r="AQ92" s="69"/>
      <c r="AR92" s="21"/>
      <c r="AS92" s="21"/>
      <c r="AT92" s="21"/>
      <c r="AU92" s="25"/>
      <c r="AV92" s="21"/>
      <c r="AW92" s="22"/>
      <c r="AX92" s="2"/>
      <c r="AY92" s="23"/>
      <c r="AZ92" s="19"/>
      <c r="BA92" s="19"/>
      <c r="BB92" s="21"/>
      <c r="BC92" s="24"/>
      <c r="BR92" s="337"/>
      <c r="BS92" s="337"/>
      <c r="BT92" s="337"/>
      <c r="BU92" s="352" t="s">
        <v>102</v>
      </c>
      <c r="BV92" s="341">
        <f>BH72</f>
        <v>1624.8547243856951</v>
      </c>
      <c r="BW92" s="341">
        <f>BI72</f>
        <v>890.827</v>
      </c>
      <c r="BX92" s="341">
        <f>BJ72</f>
        <v>229.83286219663336</v>
      </c>
      <c r="BY92" s="337"/>
      <c r="BZ92" s="337"/>
      <c r="CA92" s="337"/>
      <c r="CB92" s="337"/>
      <c r="CC92" s="337"/>
    </row>
    <row r="93" spans="1:81" s="106" customFormat="1">
      <c r="A93" s="699"/>
      <c r="B93" s="107" t="s">
        <v>67</v>
      </c>
      <c r="C93" s="108"/>
      <c r="D93" s="109"/>
      <c r="E93" s="110"/>
      <c r="F93" s="110"/>
      <c r="G93" s="124"/>
      <c r="H93" s="125"/>
      <c r="I93" s="112">
        <f>SUM(I90:I92)</f>
        <v>0</v>
      </c>
      <c r="J93" s="113">
        <f>SUM(J90:J92)</f>
        <v>99049</v>
      </c>
      <c r="K93" s="113">
        <f>SUM(K90:K92)</f>
        <v>246833</v>
      </c>
      <c r="L93" s="114">
        <f>SUM(L90:L92)</f>
        <v>345882</v>
      </c>
      <c r="M93" s="562"/>
      <c r="N93" s="112">
        <f>I93</f>
        <v>0</v>
      </c>
      <c r="O93" s="113">
        <f>SUM(O90:O92)</f>
        <v>99049</v>
      </c>
      <c r="P93" s="113">
        <f>SUM(P90:P92)</f>
        <v>246833</v>
      </c>
      <c r="Q93" s="114">
        <f>SUM(Q90:Q92)</f>
        <v>345882</v>
      </c>
      <c r="R93" s="115">
        <f>SUM(R90:R92)</f>
        <v>63.519694861877184</v>
      </c>
      <c r="T93" s="109"/>
      <c r="U93" s="110"/>
      <c r="V93" s="110"/>
      <c r="W93" s="124"/>
      <c r="X93" s="125"/>
      <c r="Y93" s="125"/>
      <c r="Z93" s="125"/>
      <c r="AA93" s="126"/>
      <c r="AB93" s="113"/>
      <c r="AC93" s="113"/>
      <c r="AD93" s="113"/>
      <c r="AE93" s="113"/>
      <c r="AF93" s="567"/>
      <c r="AG93" s="112">
        <f>SUM(AG89:AG92)</f>
        <v>0</v>
      </c>
      <c r="AH93" s="113">
        <f>SUM(AH89:AH92)</f>
        <v>0</v>
      </c>
      <c r="AI93" s="113">
        <f>SUM(AI89:AI92)</f>
        <v>0</v>
      </c>
      <c r="AJ93" s="113">
        <f>SUM(AJ89:AJ92)</f>
        <v>0</v>
      </c>
      <c r="AK93" s="118">
        <f>SUM(AK89:AK92)</f>
        <v>0</v>
      </c>
      <c r="AL93" s="119"/>
      <c r="AM93" s="109"/>
      <c r="AN93" s="110"/>
      <c r="AO93" s="110"/>
      <c r="AP93" s="124"/>
      <c r="AQ93" s="126"/>
      <c r="AR93" s="113"/>
      <c r="AS93" s="113"/>
      <c r="AT93" s="113"/>
      <c r="AU93" s="120"/>
      <c r="AV93" s="113"/>
      <c r="AW93" s="114"/>
      <c r="AX93" s="110"/>
      <c r="AY93" s="127"/>
      <c r="AZ93" s="119"/>
      <c r="BA93" s="119"/>
      <c r="BB93" s="113"/>
      <c r="BC93" s="121"/>
      <c r="BG93" s="144"/>
      <c r="BR93" s="340"/>
      <c r="BS93" s="340"/>
      <c r="BT93" s="340"/>
      <c r="BU93" s="351" t="s">
        <v>103</v>
      </c>
      <c r="BV93" s="341">
        <f>BH25</f>
        <v>1647.3699471172993</v>
      </c>
      <c r="BW93" s="341">
        <f>BI25</f>
        <v>1037.8240000000001</v>
      </c>
      <c r="BX93" s="341">
        <f>BJ25</f>
        <v>227.49385661013832</v>
      </c>
      <c r="BY93" s="337"/>
      <c r="BZ93" s="337"/>
      <c r="CA93" s="337"/>
      <c r="CB93" s="337"/>
      <c r="CC93" s="340"/>
    </row>
    <row r="94" spans="1:81" s="106" customFormat="1" ht="13.5" thickBot="1">
      <c r="A94" s="699"/>
      <c r="B94" s="131" t="s">
        <v>37</v>
      </c>
      <c r="C94" s="132" t="s">
        <v>1</v>
      </c>
      <c r="D94" s="109"/>
      <c r="E94" s="110"/>
      <c r="F94" s="110"/>
      <c r="G94" s="111"/>
      <c r="H94" s="130">
        <f>'[2]Fly ash'!$E$263</f>
        <v>1228058.880803105</v>
      </c>
      <c r="I94" s="112"/>
      <c r="J94" s="113"/>
      <c r="K94" s="113"/>
      <c r="L94" s="114"/>
      <c r="M94" s="562"/>
      <c r="N94" s="127"/>
      <c r="O94" s="119"/>
      <c r="P94" s="119"/>
      <c r="Q94" s="113">
        <f>H94</f>
        <v>1228058.880803105</v>
      </c>
      <c r="R94" s="115">
        <f>Q94/[2]Popn!$H$42*1000</f>
        <v>225.52756541546435</v>
      </c>
      <c r="T94" s="109"/>
      <c r="U94" s="110"/>
      <c r="V94" s="110"/>
      <c r="W94" s="111"/>
      <c r="X94" s="110"/>
      <c r="Y94" s="110"/>
      <c r="Z94" s="110"/>
      <c r="AA94" s="117">
        <f>'[2]Fly ash'!$E$255</f>
        <v>1393415.499328258</v>
      </c>
      <c r="AB94" s="113"/>
      <c r="AC94" s="113"/>
      <c r="AD94" s="113"/>
      <c r="AE94" s="113"/>
      <c r="AF94" s="567"/>
      <c r="AG94" s="112"/>
      <c r="AH94" s="113"/>
      <c r="AI94" s="113"/>
      <c r="AJ94" s="113">
        <f>AA94</f>
        <v>1393415.499328258</v>
      </c>
      <c r="AK94" s="115">
        <f>AJ94/[2]Popn!$H$42*1000</f>
        <v>255.89457483517842</v>
      </c>
      <c r="AL94" s="119"/>
      <c r="AM94" s="109"/>
      <c r="AN94" s="110"/>
      <c r="AO94" s="110"/>
      <c r="AP94" s="111"/>
      <c r="AQ94" s="117"/>
      <c r="AR94" s="113"/>
      <c r="AS94" s="113"/>
      <c r="AT94" s="113"/>
      <c r="AU94" s="120"/>
      <c r="AV94" s="113"/>
      <c r="AW94" s="114"/>
      <c r="AX94" s="110"/>
      <c r="AY94" s="127"/>
      <c r="AZ94" s="119"/>
      <c r="BA94" s="119"/>
      <c r="BB94" s="119"/>
      <c r="BC94" s="121"/>
      <c r="BG94" s="144"/>
      <c r="BR94" s="340"/>
      <c r="BS94" s="340"/>
      <c r="BT94" s="340"/>
      <c r="BU94" s="340"/>
      <c r="BV94" s="340"/>
      <c r="BW94" s="340"/>
      <c r="BX94" s="340"/>
      <c r="BY94" s="340"/>
      <c r="BZ94" s="340"/>
      <c r="CA94" s="340"/>
      <c r="CB94" s="340"/>
      <c r="CC94" s="340"/>
    </row>
    <row r="95" spans="1:81" ht="13.5" thickBot="1">
      <c r="B95" s="19"/>
      <c r="C95" s="38"/>
      <c r="D95" s="57"/>
      <c r="E95" s="2"/>
      <c r="F95" s="2"/>
      <c r="G95" s="63"/>
      <c r="H95" s="2"/>
      <c r="I95" s="20"/>
      <c r="J95" s="21"/>
      <c r="K95" s="21"/>
      <c r="L95" s="22"/>
      <c r="M95" s="212"/>
      <c r="N95" s="23"/>
      <c r="O95" s="19"/>
      <c r="P95" s="19"/>
      <c r="Q95" s="19"/>
      <c r="R95" s="24"/>
      <c r="T95" s="57"/>
      <c r="U95" s="2"/>
      <c r="V95" s="2"/>
      <c r="W95" s="63"/>
      <c r="X95" s="2"/>
      <c r="Y95" s="2"/>
      <c r="Z95" s="2"/>
      <c r="AA95" s="68"/>
      <c r="AB95" s="21"/>
      <c r="AC95" s="21"/>
      <c r="AD95" s="21"/>
      <c r="AE95" s="21"/>
      <c r="AF95" s="355"/>
      <c r="AG95" s="20"/>
      <c r="AH95" s="21"/>
      <c r="AI95" s="21"/>
      <c r="AJ95" s="21"/>
      <c r="AK95" s="29"/>
      <c r="AL95" s="19"/>
      <c r="AM95" s="57"/>
      <c r="AN95" s="2"/>
      <c r="AO95" s="2"/>
      <c r="AP95" s="63"/>
      <c r="AQ95" s="68"/>
      <c r="AR95" s="21"/>
      <c r="AS95" s="21"/>
      <c r="AT95" s="21"/>
      <c r="AU95" s="25"/>
      <c r="AV95" s="21"/>
      <c r="AW95" s="22"/>
      <c r="AX95" s="2"/>
      <c r="AY95" s="23"/>
      <c r="AZ95" s="19"/>
      <c r="BA95" s="19"/>
      <c r="BB95" s="19"/>
      <c r="BC95" s="24"/>
      <c r="BR95" s="337"/>
      <c r="BS95" s="337"/>
      <c r="BT95" s="337"/>
      <c r="BU95" s="340"/>
      <c r="BV95" s="340"/>
      <c r="BW95" s="340"/>
      <c r="BX95" s="340"/>
      <c r="BY95" s="340"/>
      <c r="BZ95" s="340"/>
      <c r="CA95" s="340"/>
      <c r="CB95" s="340"/>
      <c r="CC95" s="337"/>
    </row>
    <row r="96" spans="1:81" ht="13.5" thickBot="1">
      <c r="C96" s="39" t="s">
        <v>38</v>
      </c>
      <c r="D96" s="58"/>
      <c r="E96" s="59"/>
      <c r="F96" s="2"/>
      <c r="G96" s="65"/>
      <c r="H96" s="2"/>
      <c r="I96" s="20"/>
      <c r="J96" s="21"/>
      <c r="K96" s="21"/>
      <c r="L96" s="22"/>
      <c r="M96" s="212" t="s">
        <v>51</v>
      </c>
      <c r="N96" s="23"/>
      <c r="O96" s="19"/>
      <c r="P96" s="19"/>
      <c r="Q96" s="19"/>
      <c r="R96" s="24"/>
      <c r="T96" s="58"/>
      <c r="U96" s="59"/>
      <c r="V96" s="2"/>
      <c r="W96" s="65"/>
      <c r="X96" s="2"/>
      <c r="Y96" s="2"/>
      <c r="Z96" s="2"/>
      <c r="AA96" s="68"/>
      <c r="AB96" s="21"/>
      <c r="AC96" s="21"/>
      <c r="AD96" s="21"/>
      <c r="AE96" s="21"/>
      <c r="AF96" s="355"/>
      <c r="AG96" s="20"/>
      <c r="AH96" s="21"/>
      <c r="AI96" s="21"/>
      <c r="AJ96" s="21"/>
      <c r="AK96" s="40"/>
      <c r="AL96" s="19"/>
      <c r="AM96" s="58"/>
      <c r="AN96" s="59"/>
      <c r="AO96" s="2"/>
      <c r="AP96" s="65"/>
      <c r="AQ96" s="68"/>
      <c r="AR96" s="21"/>
      <c r="AS96" s="21"/>
      <c r="AT96" s="21"/>
      <c r="AU96" s="25"/>
      <c r="AV96" s="21"/>
      <c r="AW96" s="22"/>
      <c r="AX96" s="2" t="s">
        <v>52</v>
      </c>
      <c r="AY96" s="23"/>
      <c r="AZ96" s="19"/>
      <c r="BA96" s="19"/>
      <c r="BB96" s="19"/>
      <c r="BC96" s="24"/>
      <c r="BR96" s="337"/>
      <c r="BS96" s="337"/>
      <c r="BT96" s="337"/>
      <c r="BU96" s="337"/>
      <c r="BV96" s="337"/>
      <c r="BW96" s="337"/>
      <c r="BX96" s="337"/>
      <c r="BY96" s="337"/>
      <c r="BZ96" s="337"/>
      <c r="CA96" s="337"/>
      <c r="CB96" s="337"/>
      <c r="CC96" s="337"/>
    </row>
    <row r="97" spans="1:81" ht="13.5" thickBot="1">
      <c r="C97" s="135" t="s">
        <v>92</v>
      </c>
      <c r="D97" s="134">
        <f>[2]VIC!$B$69</f>
        <v>1871459.1483499999</v>
      </c>
      <c r="E97" s="706">
        <f>[2]VIC!$C$69</f>
        <v>2451698.5057999995</v>
      </c>
      <c r="F97" s="707"/>
      <c r="G97" s="66">
        <f>SUM(D97:F97,G90:G92)</f>
        <v>4669039.6541499998</v>
      </c>
      <c r="H97" s="4"/>
      <c r="I97" s="41">
        <f>SUM(I93,I88,I85,I83,I78,I74,I69,I63,I59)</f>
        <v>1871459.1483499997</v>
      </c>
      <c r="J97" s="727">
        <f>SUM(J59:K59,J63:K63,J69:K69,J74:K74,J78:K78,J83:K85,J88:K88,J93:K93)</f>
        <v>2797580.5057999995</v>
      </c>
      <c r="K97" s="728"/>
      <c r="L97" s="42">
        <f>SUM(L93,L88,L85,L83,L78,L74,L69,L63,L59)</f>
        <v>4669039.6541499989</v>
      </c>
      <c r="M97" s="563"/>
      <c r="N97" s="44">
        <f>SUM(N93,N88,N85,N84,N74,N69,N63,N59)</f>
        <v>1648925.8693586227</v>
      </c>
      <c r="O97" s="45">
        <f>SUM(O93,O88,O85,O84,O74,O69,O63,O59)</f>
        <v>1507773.8006543082</v>
      </c>
      <c r="P97" s="45">
        <f>SUM(P93,P88,P85,P84,P74,P69,P63,P59)</f>
        <v>1226423.5370648997</v>
      </c>
      <c r="Q97" s="133">
        <f>SUM(Q93,Q88,Q85,Q84,Q74,Q69,Q63,Q59,Q96)</f>
        <v>4383123.2070778301</v>
      </c>
      <c r="R97" s="27">
        <f>SUM(R93,R88,R85,R84,R74,R69,R63,R59)</f>
        <v>804.94113210747116</v>
      </c>
      <c r="T97" s="60"/>
      <c r="U97" s="706"/>
      <c r="V97" s="707"/>
      <c r="W97" s="66"/>
      <c r="X97" s="61"/>
      <c r="Y97" s="61"/>
      <c r="Z97" s="61"/>
      <c r="AA97" s="71"/>
      <c r="AB97" s="45"/>
      <c r="AC97" s="45"/>
      <c r="AD97" s="45"/>
      <c r="AE97" s="45"/>
      <c r="AF97" s="555"/>
      <c r="AG97" s="44">
        <f>SUM(AG93,AG88,AG85,AG84,AG74,AG69,AG63,AG59)</f>
        <v>1515910.4209999999</v>
      </c>
      <c r="AH97" s="45">
        <f>SUM(AH93,AH88,AH85,AH84,AH74,AH69,AH63,AH59)</f>
        <v>2398843.6749999998</v>
      </c>
      <c r="AI97" s="45">
        <f>SUM(AI93,AI88,AI85,AI84,AI74,AI69,AI63,AI59)</f>
        <v>3065129.7039999999</v>
      </c>
      <c r="AJ97" s="354">
        <f>SUM(AJ93,AJ88,AJ85,AJ84,AJ74,AJ69,AJ63,AJ59,AJ96)</f>
        <v>6979883.8000000007</v>
      </c>
      <c r="AK97" s="27">
        <f>SUM(AK93,AK88,AK85,AK84,AK74,AK69,AK63,AK59,AK96)</f>
        <v>1281.8246949750487</v>
      </c>
      <c r="AL97" s="19"/>
      <c r="AM97" s="60"/>
      <c r="AN97" s="706"/>
      <c r="AO97" s="707"/>
      <c r="AP97" s="66"/>
      <c r="AQ97" s="71"/>
      <c r="AR97" s="43"/>
      <c r="AS97" s="46">
        <f>SUM(AS54:AS96)</f>
        <v>1.0000000000000002</v>
      </c>
      <c r="AT97" s="45">
        <f>SUM(AT54:AT96)</f>
        <v>343005.46631599922</v>
      </c>
      <c r="AU97" s="47"/>
      <c r="AV97" s="45"/>
      <c r="AW97" s="48"/>
      <c r="AX97" s="43"/>
      <c r="AY97" s="44">
        <f>SUM(AY93,AY88,AY85,AY84,AY74,AY69,AY63,AY59)</f>
        <v>222533.27899137698</v>
      </c>
      <c r="AZ97" s="45">
        <f>SUM(AZ93,AZ88,AZ85,AZ84,AZ74,AZ69,AZ63,AZ59)</f>
        <v>63060.242825691617</v>
      </c>
      <c r="BA97" s="45">
        <f>SUM(BA93,BA88,BA85,BA84,BA74,BA69,BA63,BA59)</f>
        <v>1088.8652551002156</v>
      </c>
      <c r="BB97" s="354">
        <f>SUM(BB93,BB88,BB85,BB84,BB74,BB69,BB63,BB59,BB96)</f>
        <v>286682.38707216881</v>
      </c>
      <c r="BC97" s="27">
        <f>SUM(BC93,BC88,BC85,BC84,BC74,BC69,BC63,BC59,BC96)</f>
        <v>52.647948575232959</v>
      </c>
      <c r="BR97" s="337"/>
      <c r="BS97" s="337"/>
      <c r="BT97" s="337"/>
      <c r="BU97" s="337"/>
      <c r="BV97" s="337"/>
      <c r="BW97" s="337"/>
      <c r="BX97" s="337"/>
      <c r="BY97" s="337"/>
      <c r="BZ97" s="337"/>
      <c r="CA97" s="337"/>
      <c r="CB97" s="337"/>
      <c r="CC97" s="337"/>
    </row>
    <row r="98" spans="1:81" ht="13.5" thickBot="1">
      <c r="C98" s="136" t="s">
        <v>65</v>
      </c>
      <c r="Q98" s="49">
        <f>Q97+Q94</f>
        <v>5611182.0878809355</v>
      </c>
      <c r="R98" s="216">
        <f>R97+R94</f>
        <v>1030.4686975229356</v>
      </c>
      <c r="AJ98" s="353">
        <f>AJ97+AJ94</f>
        <v>8373299.2993282583</v>
      </c>
      <c r="AK98" s="216">
        <f>AK97+AK94</f>
        <v>1537.7192698102272</v>
      </c>
      <c r="BB98" s="353">
        <f>BB97+BB94</f>
        <v>286682.38707216881</v>
      </c>
      <c r="BC98" s="216">
        <f>BC97+BC94</f>
        <v>52.647948575232959</v>
      </c>
      <c r="BR98" s="337"/>
      <c r="BS98" s="337"/>
      <c r="BT98" s="337"/>
      <c r="BU98" s="337"/>
      <c r="BV98" s="337"/>
      <c r="BW98" s="337"/>
      <c r="BX98" s="337"/>
      <c r="BY98" s="337"/>
      <c r="BZ98" s="337"/>
      <c r="CA98" s="337"/>
      <c r="CB98" s="337"/>
      <c r="CC98" s="337"/>
    </row>
    <row r="99" spans="1:81">
      <c r="BR99" s="337"/>
      <c r="BS99" s="337"/>
      <c r="BT99" s="337"/>
      <c r="BU99" s="337"/>
      <c r="BV99" s="337"/>
      <c r="BW99" s="337"/>
      <c r="BX99" s="337"/>
      <c r="BY99" s="337"/>
      <c r="BZ99" s="337"/>
      <c r="CA99" s="337"/>
      <c r="CB99" s="337"/>
      <c r="CC99" s="337"/>
    </row>
    <row r="100" spans="1:81" ht="13.5" thickBot="1">
      <c r="C100" s="89"/>
      <c r="BR100" s="337"/>
      <c r="BS100" s="337"/>
      <c r="BT100" s="337"/>
      <c r="BU100" s="337"/>
      <c r="BV100" s="337"/>
      <c r="BW100" s="337"/>
      <c r="BX100" s="337"/>
      <c r="BY100" s="337"/>
      <c r="BZ100" s="337"/>
      <c r="CA100" s="337"/>
      <c r="CB100" s="337"/>
      <c r="CC100" s="337"/>
    </row>
    <row r="101" spans="1:81">
      <c r="A101" s="699" t="s">
        <v>82</v>
      </c>
      <c r="B101" s="16" t="s">
        <v>3</v>
      </c>
      <c r="C101" s="148" t="s">
        <v>16</v>
      </c>
      <c r="D101" s="55"/>
      <c r="E101" s="56"/>
      <c r="F101" s="56"/>
      <c r="G101" s="149"/>
      <c r="H101" s="150"/>
      <c r="I101" s="151"/>
      <c r="J101" s="26"/>
      <c r="K101" s="26"/>
      <c r="L101" s="133"/>
      <c r="M101" s="561"/>
      <c r="N101" s="16"/>
      <c r="O101" s="18"/>
      <c r="P101" s="18"/>
      <c r="Q101" s="18"/>
      <c r="R101" s="28"/>
      <c r="S101" s="152"/>
      <c r="T101" s="196">
        <f>SUMIF([2]VIC!$D$113:$D$145,$C101,[2]VIC!K$113:K$145)</f>
        <v>27631</v>
      </c>
      <c r="U101" s="197">
        <f>SUMIF([2]VIC!$D$113:$D$145,$C101,[2]VIC!L$113:L$145)</f>
        <v>11747</v>
      </c>
      <c r="V101" s="197">
        <f>SUMIF([2]VIC!$D$113:$D$145,$C101,[2]VIC!M$113:M$145)</f>
        <v>186424</v>
      </c>
      <c r="W101" s="149"/>
      <c r="X101" s="56"/>
      <c r="Y101" s="56"/>
      <c r="Z101" s="56"/>
      <c r="AA101" s="153"/>
      <c r="AB101" s="26"/>
      <c r="AC101" s="26"/>
      <c r="AD101" s="26"/>
      <c r="AE101" s="26"/>
      <c r="AF101" s="566"/>
      <c r="AG101" s="151">
        <f t="shared" ref="AG101:AI105" si="31">T101</f>
        <v>27631</v>
      </c>
      <c r="AH101" s="26">
        <f t="shared" si="31"/>
        <v>11747</v>
      </c>
      <c r="AI101" s="26">
        <f t="shared" si="31"/>
        <v>186424</v>
      </c>
      <c r="AJ101" s="26">
        <f>SUM(AG101:AI101)</f>
        <v>225802</v>
      </c>
      <c r="AK101" s="27">
        <f>AJ101/[2]Popn!$H$41*1000</f>
        <v>42.141951142924661</v>
      </c>
      <c r="AL101" s="18"/>
      <c r="AM101" s="55"/>
      <c r="AN101" s="56"/>
      <c r="AO101" s="56"/>
      <c r="AP101" s="149"/>
      <c r="AQ101" s="153"/>
      <c r="AR101" s="26"/>
      <c r="AS101" s="26"/>
      <c r="AT101" s="26"/>
      <c r="AU101" s="154"/>
      <c r="AV101" s="26"/>
      <c r="AW101" s="133"/>
      <c r="AX101" s="56"/>
      <c r="AY101" s="16"/>
      <c r="AZ101" s="18"/>
      <c r="BA101" s="18"/>
      <c r="BB101" s="18"/>
      <c r="BC101" s="28"/>
      <c r="BD101" s="155"/>
      <c r="BH101" s="700" t="s">
        <v>86</v>
      </c>
      <c r="BI101" s="701"/>
      <c r="BJ101" s="701"/>
      <c r="BK101" s="701"/>
      <c r="BL101" s="702"/>
      <c r="BM101" s="700" t="s">
        <v>87</v>
      </c>
      <c r="BN101" s="702"/>
      <c r="BP101" s="8"/>
      <c r="BQ101" s="8"/>
      <c r="BR101" s="342"/>
      <c r="BS101" s="342"/>
      <c r="BT101" s="342"/>
      <c r="BU101" s="337"/>
      <c r="BV101" s="337"/>
      <c r="BW101" s="337"/>
      <c r="BX101" s="337"/>
      <c r="BY101" s="337"/>
      <c r="BZ101" s="337"/>
      <c r="CA101" s="337"/>
      <c r="CB101" s="337"/>
      <c r="CC101" s="337"/>
    </row>
    <row r="102" spans="1:81">
      <c r="A102" s="699"/>
      <c r="B102" s="23"/>
      <c r="C102" s="17" t="s">
        <v>17</v>
      </c>
      <c r="D102" s="57"/>
      <c r="E102" s="2"/>
      <c r="F102" s="2"/>
      <c r="G102" s="63"/>
      <c r="H102" s="5"/>
      <c r="I102" s="20"/>
      <c r="J102" s="21"/>
      <c r="K102" s="21"/>
      <c r="L102" s="22"/>
      <c r="M102" s="212"/>
      <c r="N102" s="23"/>
      <c r="O102" s="19"/>
      <c r="P102" s="19"/>
      <c r="Q102" s="19"/>
      <c r="R102" s="24"/>
      <c r="T102" s="201">
        <f>SUMIF([2]VIC!$D$113:$D$145,$C102,[2]VIC!K$113:K$145)</f>
        <v>5291</v>
      </c>
      <c r="U102" s="198">
        <f>SUMIF([2]VIC!$D$113:$D$145,$C102,[2]VIC!L$113:L$145)</f>
        <v>7453</v>
      </c>
      <c r="V102" s="198">
        <f>SUMIF([2]VIC!$D$113:$D$145,$C102,[2]VIC!M$113:M$145)</f>
        <v>228846</v>
      </c>
      <c r="W102" s="63"/>
      <c r="X102" s="2"/>
      <c r="Y102" s="2"/>
      <c r="Z102" s="2"/>
      <c r="AA102" s="67"/>
      <c r="AB102" s="21"/>
      <c r="AC102" s="21"/>
      <c r="AD102" s="21"/>
      <c r="AE102" s="21"/>
      <c r="AF102" s="355"/>
      <c r="AG102" s="20">
        <f t="shared" si="31"/>
        <v>5291</v>
      </c>
      <c r="AH102" s="21">
        <f t="shared" si="31"/>
        <v>7453</v>
      </c>
      <c r="AI102" s="21">
        <f t="shared" si="31"/>
        <v>228846</v>
      </c>
      <c r="AJ102" s="21">
        <f>SUM(AG102:AI102)</f>
        <v>241590</v>
      </c>
      <c r="AK102" s="29">
        <f>AJ102/[2]Popn!$H$41*1000</f>
        <v>45.088502212642801</v>
      </c>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3"/>
      <c r="BS102" s="343"/>
      <c r="BT102" s="343"/>
      <c r="BU102" s="342"/>
      <c r="BV102" s="337"/>
      <c r="BW102" s="337"/>
      <c r="BX102" s="337"/>
      <c r="BY102" s="337"/>
      <c r="BZ102" s="337"/>
      <c r="CA102" s="337"/>
      <c r="CB102" s="337"/>
      <c r="CC102" s="337"/>
    </row>
    <row r="103" spans="1:81">
      <c r="A103" s="699"/>
      <c r="B103" s="23"/>
      <c r="C103" s="17" t="s">
        <v>18</v>
      </c>
      <c r="D103" s="57"/>
      <c r="E103" s="2"/>
      <c r="F103" s="2"/>
      <c r="G103" s="63"/>
      <c r="H103" s="5"/>
      <c r="I103" s="20"/>
      <c r="J103" s="21"/>
      <c r="K103" s="21"/>
      <c r="L103" s="22"/>
      <c r="M103" s="212"/>
      <c r="N103" s="23"/>
      <c r="O103" s="19"/>
      <c r="P103" s="19"/>
      <c r="Q103" s="19"/>
      <c r="R103" s="24"/>
      <c r="T103" s="201">
        <f>SUMIF([2]VIC!$D$113:$D$145,$C103,[2]VIC!K$113:K$145)</f>
        <v>80816</v>
      </c>
      <c r="U103" s="198">
        <f>SUMIF([2]VIC!$D$113:$D$145,$C103,[2]VIC!L$113:L$145)</f>
        <v>76527</v>
      </c>
      <c r="V103" s="198">
        <f>SUMIF([2]VIC!$D$113:$D$145,$C103,[2]VIC!M$113:M$145)</f>
        <v>1581361</v>
      </c>
      <c r="W103" s="63"/>
      <c r="X103" s="2"/>
      <c r="Y103" s="2"/>
      <c r="Z103" s="2"/>
      <c r="AA103" s="67"/>
      <c r="AB103" s="21"/>
      <c r="AC103" s="21"/>
      <c r="AD103" s="21"/>
      <c r="AE103" s="21"/>
      <c r="AF103" s="355"/>
      <c r="AG103" s="20">
        <f t="shared" si="31"/>
        <v>80816</v>
      </c>
      <c r="AH103" s="21">
        <f t="shared" si="31"/>
        <v>76527</v>
      </c>
      <c r="AI103" s="21">
        <f t="shared" si="31"/>
        <v>1581361</v>
      </c>
      <c r="AJ103" s="21">
        <f>SUM(AG103:AI103)</f>
        <v>1738704</v>
      </c>
      <c r="AK103" s="29">
        <f>AJ103/[2]Popn!$H$41*1000</f>
        <v>324.49836148487469</v>
      </c>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44"/>
      <c r="BS103" s="345"/>
      <c r="BT103" s="345"/>
      <c r="BU103" s="343"/>
      <c r="BV103" s="337"/>
      <c r="BW103" s="337"/>
      <c r="BX103" s="337"/>
      <c r="BY103" s="337"/>
      <c r="BZ103" s="337"/>
      <c r="CA103" s="337"/>
      <c r="CB103" s="337"/>
      <c r="CC103" s="337"/>
    </row>
    <row r="104" spans="1:81">
      <c r="A104" s="699"/>
      <c r="B104" s="23"/>
      <c r="C104" s="17" t="s">
        <v>182</v>
      </c>
      <c r="D104" s="57"/>
      <c r="E104" s="2"/>
      <c r="F104" s="2"/>
      <c r="G104" s="63"/>
      <c r="H104" s="2"/>
      <c r="I104" s="20"/>
      <c r="J104" s="21"/>
      <c r="K104" s="21"/>
      <c r="L104" s="22"/>
      <c r="M104" s="212"/>
      <c r="N104" s="23"/>
      <c r="O104" s="19"/>
      <c r="P104" s="19"/>
      <c r="Q104" s="19"/>
      <c r="R104" s="24"/>
      <c r="T104" s="201">
        <f>SUMIF([2]VIC!$D$113:$D$145,$C104,[2]VIC!K$113:K$145)</f>
        <v>0</v>
      </c>
      <c r="U104" s="198">
        <f>SUMIF([2]VIC!$D$113:$D$145,$C104,[2]VIC!L$113:L$145)</f>
        <v>14010</v>
      </c>
      <c r="V104" s="198">
        <f>SUMIF([2]VIC!$D$113:$D$145,$C104,[2]VIC!M$113:M$145)</f>
        <v>190149</v>
      </c>
      <c r="W104" s="63"/>
      <c r="X104" s="2"/>
      <c r="Y104" s="2"/>
      <c r="Z104" s="2"/>
      <c r="AA104" s="68"/>
      <c r="AB104" s="21"/>
      <c r="AC104" s="21"/>
      <c r="AD104" s="21"/>
      <c r="AE104" s="21"/>
      <c r="AF104" s="355"/>
      <c r="AG104" s="20">
        <f t="shared" si="31"/>
        <v>0</v>
      </c>
      <c r="AH104" s="21">
        <f t="shared" si="31"/>
        <v>14010</v>
      </c>
      <c r="AI104" s="21">
        <f t="shared" si="31"/>
        <v>190149</v>
      </c>
      <c r="AJ104" s="21">
        <f>SUM(AG104:AI104)</f>
        <v>204159</v>
      </c>
      <c r="AK104" s="29">
        <f>AJ104/[2]Popn!$H$41*1000</f>
        <v>38.10266783902869</v>
      </c>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1567.3372434220903</v>
      </c>
      <c r="BI104" s="52">
        <f>O144/1000</f>
        <v>1567.4624603331392</v>
      </c>
      <c r="BJ104" s="52">
        <f>P144/1000</f>
        <v>1204.2070000699546</v>
      </c>
      <c r="BK104" s="53">
        <f>Q144/1000</f>
        <v>4339.0067038251836</v>
      </c>
      <c r="BL104" s="54">
        <f>R144/1000</f>
        <v>0.80979888805866862</v>
      </c>
      <c r="BM104" s="51">
        <f>Q145/1000</f>
        <v>5878.2555935689024</v>
      </c>
      <c r="BN104" s="54">
        <f>R145/1000</f>
        <v>1.0970724795608735</v>
      </c>
      <c r="BP104" s="30"/>
      <c r="BQ104" s="30"/>
      <c r="BR104" s="344"/>
      <c r="BS104" s="345"/>
      <c r="BT104" s="345"/>
      <c r="BU104" s="346"/>
      <c r="BV104" s="337"/>
      <c r="BW104" s="337"/>
      <c r="BX104" s="337"/>
      <c r="BY104" s="337"/>
      <c r="BZ104" s="337"/>
      <c r="CA104" s="337"/>
      <c r="CB104" s="337"/>
      <c r="CC104" s="337"/>
    </row>
    <row r="105" spans="1:81">
      <c r="A105" s="699"/>
      <c r="B105" s="23"/>
      <c r="C105" s="17" t="s">
        <v>183</v>
      </c>
      <c r="D105" s="57"/>
      <c r="E105" s="2"/>
      <c r="F105" s="2"/>
      <c r="G105" s="63"/>
      <c r="H105" s="2"/>
      <c r="I105" s="20"/>
      <c r="J105" s="21"/>
      <c r="K105" s="21"/>
      <c r="L105" s="22"/>
      <c r="M105" s="212"/>
      <c r="N105" s="23"/>
      <c r="O105" s="19"/>
      <c r="P105" s="19"/>
      <c r="Q105" s="19"/>
      <c r="R105" s="33"/>
      <c r="T105" s="201">
        <f>SUMIF([2]VIC!$D$113:$D$145,$C105,[2]VIC!K$113:K$145)</f>
        <v>32</v>
      </c>
      <c r="U105" s="198">
        <f>SUMIF([2]VIC!$D$113:$D$145,$C105,[2]VIC!L$113:L$145)</f>
        <v>10824</v>
      </c>
      <c r="V105" s="198">
        <f>SUMIF([2]VIC!$D$113:$D$145,$C105,[2]VIC!M$113:M$145)</f>
        <v>26403</v>
      </c>
      <c r="W105" s="63"/>
      <c r="X105" s="2"/>
      <c r="Y105" s="2"/>
      <c r="Z105" s="2"/>
      <c r="AA105" s="68"/>
      <c r="AB105" s="21"/>
      <c r="AC105" s="21"/>
      <c r="AD105" s="21"/>
      <c r="AE105" s="21"/>
      <c r="AF105" s="355"/>
      <c r="AG105" s="20">
        <f t="shared" si="31"/>
        <v>32</v>
      </c>
      <c r="AH105" s="21">
        <f t="shared" si="31"/>
        <v>10824</v>
      </c>
      <c r="AI105" s="21">
        <f t="shared" si="31"/>
        <v>26403</v>
      </c>
      <c r="AJ105" s="21">
        <f>SUM(AG105:AI105)</f>
        <v>37259</v>
      </c>
      <c r="AK105" s="29">
        <f>AJ105/[2]Popn!$H$41*1000</f>
        <v>6.9537336145571347</v>
      </c>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1181.7440216666666</v>
      </c>
      <c r="BI105" s="52">
        <f>AH144/1000</f>
        <v>2156.3971666666671</v>
      </c>
      <c r="BJ105" s="52">
        <f>AI144/1000</f>
        <v>2447.9759449999997</v>
      </c>
      <c r="BK105" s="53">
        <f>AJ144/1000</f>
        <v>5786.1171333333332</v>
      </c>
      <c r="BL105" s="54">
        <f>AK144/1000</f>
        <v>1.0794363116434706</v>
      </c>
      <c r="BM105" s="51">
        <f>AJ145/1000</f>
        <v>6940.4773691823893</v>
      </c>
      <c r="BN105" s="54">
        <f>AK145/1000</f>
        <v>1.2948772406896523</v>
      </c>
      <c r="BR105" s="337"/>
      <c r="BS105" s="337"/>
      <c r="BT105" s="337"/>
      <c r="BU105" s="346"/>
      <c r="BV105" s="337"/>
      <c r="BW105" s="337"/>
      <c r="BX105" s="337"/>
      <c r="BY105" s="337"/>
      <c r="BZ105" s="337"/>
      <c r="CA105" s="337"/>
      <c r="CB105" s="337"/>
      <c r="CC105" s="337"/>
    </row>
    <row r="106" spans="1:81" s="106" customFormat="1">
      <c r="A106" s="699"/>
      <c r="B106" s="107" t="s">
        <v>67</v>
      </c>
      <c r="C106" s="108"/>
      <c r="D106" s="109"/>
      <c r="E106" s="110"/>
      <c r="F106" s="110"/>
      <c r="G106" s="111"/>
      <c r="H106" s="110"/>
      <c r="I106" s="112">
        <f>D144*[2]VIC!K$24/(1-[2]VIC!$K$25)</f>
        <v>233772.5063267895</v>
      </c>
      <c r="J106" s="113">
        <f>E144*[2]VIC!L$31*[2]VIC!L$24/(1-[2]VIC!$L$25)</f>
        <v>184721.32480617522</v>
      </c>
      <c r="K106" s="113">
        <f>E144*[2]VIC!M$31*[2]VIC!M$24/(1-[2]VIC!$M$25)</f>
        <v>785281.86463065108</v>
      </c>
      <c r="L106" s="114">
        <f>SUM(I106:K106)</f>
        <v>1203775.6957636159</v>
      </c>
      <c r="M106" s="562"/>
      <c r="N106" s="112">
        <f>I106-AU106</f>
        <v>233772.5063267895</v>
      </c>
      <c r="O106" s="113">
        <f>J106-AV106</f>
        <v>184721.32480617522</v>
      </c>
      <c r="P106" s="113">
        <f>K106-AW106</f>
        <v>785281.86463065108</v>
      </c>
      <c r="Q106" s="113">
        <f>SUM(N106:P106)</f>
        <v>1203775.6957636159</v>
      </c>
      <c r="R106" s="115">
        <f>Q106/[2]Popn!$H$41*1000</f>
        <v>224.66345097877985</v>
      </c>
      <c r="T106" s="201"/>
      <c r="U106" s="198"/>
      <c r="V106" s="198"/>
      <c r="W106" s="111"/>
      <c r="X106" s="110"/>
      <c r="Y106" s="110"/>
      <c r="Z106" s="110"/>
      <c r="AA106" s="116"/>
      <c r="AB106" s="113"/>
      <c r="AC106" s="113"/>
      <c r="AD106" s="113"/>
      <c r="AE106" s="113"/>
      <c r="AF106" s="567"/>
      <c r="AG106" s="112">
        <f>SUM(AG101:AG105)</f>
        <v>113770</v>
      </c>
      <c r="AH106" s="113">
        <f>SUM(AH101:AH105)</f>
        <v>120561</v>
      </c>
      <c r="AI106" s="113">
        <f>SUM(AI101:AI105)</f>
        <v>2213183</v>
      </c>
      <c r="AJ106" s="113">
        <f>SUM(AJ101:AJ105)</f>
        <v>2447514</v>
      </c>
      <c r="AK106" s="118">
        <f>SUM(AK101:AK105)</f>
        <v>456.78521629402798</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185.23664802790958</v>
      </c>
      <c r="BI106" s="52">
        <f>AZ144/1000</f>
        <v>69.362817079860605</v>
      </c>
      <c r="BJ106" s="52">
        <f>BA144/1000</f>
        <v>0.89500866704523263</v>
      </c>
      <c r="BK106" s="53">
        <f>BB144/1000</f>
        <v>255.49447377481545</v>
      </c>
      <c r="BL106" s="54">
        <f>BC144/1000</f>
        <v>4.7683526412988009E-2</v>
      </c>
      <c r="BM106" s="51">
        <f>BB145/1000</f>
        <v>255.49447377481545</v>
      </c>
      <c r="BN106" s="54">
        <f>BC145/1000</f>
        <v>4.7683526412988009E-2</v>
      </c>
      <c r="BO106" s="6"/>
      <c r="BR106" s="340"/>
      <c r="BS106" s="340"/>
      <c r="BT106" s="340"/>
      <c r="BU106" s="337"/>
      <c r="BV106" s="337"/>
      <c r="BW106" s="337"/>
      <c r="BX106" s="337"/>
      <c r="BY106" s="337"/>
      <c r="BZ106" s="337"/>
      <c r="CA106" s="337"/>
      <c r="CB106" s="337"/>
      <c r="CC106" s="340"/>
    </row>
    <row r="107" spans="1:81">
      <c r="A107" s="699"/>
      <c r="B107" s="23" t="s">
        <v>4</v>
      </c>
      <c r="C107" s="17" t="s">
        <v>19</v>
      </c>
      <c r="D107" s="57"/>
      <c r="E107" s="2"/>
      <c r="F107" s="2"/>
      <c r="G107" s="63"/>
      <c r="H107" s="2"/>
      <c r="I107" s="20"/>
      <c r="J107" s="21"/>
      <c r="K107" s="21"/>
      <c r="L107" s="22"/>
      <c r="M107" s="212"/>
      <c r="N107" s="23"/>
      <c r="O107" s="19"/>
      <c r="P107" s="19"/>
      <c r="Q107" s="19"/>
      <c r="R107" s="33"/>
      <c r="T107" s="201">
        <f>SUMIF([2]VIC!$D$113:$D$145,$C107,[2]VIC!K$113:K$145)</f>
        <v>182063</v>
      </c>
      <c r="U107" s="198">
        <f>SUMIF([2]VIC!$D$113:$D$145,$C107,[2]VIC!L$113:L$145)</f>
        <v>607070</v>
      </c>
      <c r="V107" s="198">
        <f>SUMIF([2]VIC!$D$113:$D$145,$C107,[2]VIC!M$113:M$145)</f>
        <v>175405</v>
      </c>
      <c r="W107" s="63"/>
      <c r="X107" s="2"/>
      <c r="Y107" s="2"/>
      <c r="Z107" s="2"/>
      <c r="AA107" s="68"/>
      <c r="AB107" s="21"/>
      <c r="AC107" s="21"/>
      <c r="AD107" s="21"/>
      <c r="AE107" s="21"/>
      <c r="AF107" s="355"/>
      <c r="AG107" s="20">
        <f t="shared" ref="AG107:AI109" si="32">T107</f>
        <v>182063</v>
      </c>
      <c r="AH107" s="21">
        <f t="shared" si="32"/>
        <v>607070</v>
      </c>
      <c r="AI107" s="21">
        <f t="shared" si="32"/>
        <v>175405</v>
      </c>
      <c r="AJ107" s="21">
        <f>SUM(AG107:AI107)</f>
        <v>964538</v>
      </c>
      <c r="AK107" s="29">
        <f>AJ107/[2]Popn!$H$41*1000</f>
        <v>180.01396476335137</v>
      </c>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33">SUM(BH105:BH106)/BH108</f>
        <v>0.46585977053953453</v>
      </c>
      <c r="BI107" s="86">
        <f t="shared" si="33"/>
        <v>0.58677286042647425</v>
      </c>
      <c r="BJ107" s="86">
        <f t="shared" si="33"/>
        <v>0.67035825259680437</v>
      </c>
      <c r="BK107" s="87">
        <f t="shared" si="33"/>
        <v>0.58200883860115082</v>
      </c>
      <c r="BL107" s="87">
        <f t="shared" si="33"/>
        <v>0.58191385258436734</v>
      </c>
      <c r="BM107" s="88">
        <f t="shared" si="33"/>
        <v>0.5503936563665297</v>
      </c>
      <c r="BN107" s="87">
        <f t="shared" si="33"/>
        <v>0.55031253936990343</v>
      </c>
      <c r="BR107" s="337"/>
      <c r="BS107" s="337"/>
      <c r="BT107" s="337"/>
      <c r="BU107" s="340"/>
      <c r="BV107" s="340"/>
      <c r="BW107" s="340"/>
      <c r="BX107" s="340"/>
      <c r="BY107" s="340"/>
      <c r="BZ107" s="340"/>
      <c r="CA107" s="340"/>
      <c r="CB107" s="340"/>
      <c r="CC107" s="337"/>
    </row>
    <row r="108" spans="1:81">
      <c r="A108" s="699"/>
      <c r="B108" s="23"/>
      <c r="C108" s="17" t="s">
        <v>20</v>
      </c>
      <c r="D108" s="57"/>
      <c r="E108" s="2"/>
      <c r="F108" s="2"/>
      <c r="G108" s="63"/>
      <c r="H108" s="2"/>
      <c r="I108" s="20"/>
      <c r="J108" s="21"/>
      <c r="K108" s="21"/>
      <c r="L108" s="22"/>
      <c r="M108" s="212"/>
      <c r="N108" s="23"/>
      <c r="O108" s="19"/>
      <c r="P108" s="19"/>
      <c r="Q108" s="19"/>
      <c r="R108" s="33"/>
      <c r="T108" s="201">
        <f>SUMIF([2]VIC!$D$113:$D$145,$C108,[2]VIC!K$113:K$145)</f>
        <v>0</v>
      </c>
      <c r="U108" s="198">
        <f>SUMIF([2]VIC!$D$113:$D$145,$C108,[2]VIC!L$113:L$145)</f>
        <v>32670</v>
      </c>
      <c r="V108" s="198">
        <f>SUMIF([2]VIC!$D$113:$D$145,$C108,[2]VIC!M$113:M$145)</f>
        <v>0</v>
      </c>
      <c r="W108" s="63"/>
      <c r="X108" s="2"/>
      <c r="Y108" s="2"/>
      <c r="Z108" s="2"/>
      <c r="AA108" s="68"/>
      <c r="AB108" s="21"/>
      <c r="AC108" s="21"/>
      <c r="AD108" s="21"/>
      <c r="AE108" s="21"/>
      <c r="AF108" s="355"/>
      <c r="AG108" s="20">
        <f t="shared" si="32"/>
        <v>0</v>
      </c>
      <c r="AH108" s="21">
        <f t="shared" si="32"/>
        <v>32670</v>
      </c>
      <c r="AI108" s="21">
        <f t="shared" si="32"/>
        <v>0</v>
      </c>
      <c r="AJ108" s="21">
        <f>SUM(AG108:AI108)</f>
        <v>32670</v>
      </c>
      <c r="AK108" s="29">
        <f>AJ108/[2]Popn!$H$41*1000</f>
        <v>6.0972778976242408</v>
      </c>
      <c r="AL108" s="19"/>
      <c r="AM108" s="57"/>
      <c r="AN108" s="2"/>
      <c r="AO108" s="2"/>
      <c r="AP108" s="63"/>
      <c r="AQ108" s="68"/>
      <c r="AR108" s="21"/>
      <c r="AS108" s="21"/>
      <c r="AT108" s="21"/>
      <c r="AU108" s="25"/>
      <c r="AV108" s="21"/>
      <c r="AW108" s="22"/>
      <c r="AX108" s="2"/>
      <c r="AY108" s="23"/>
      <c r="AZ108" s="19"/>
      <c r="BA108" s="19"/>
      <c r="BB108" s="19"/>
      <c r="BC108" s="24"/>
      <c r="BD108" s="30"/>
      <c r="BG108" s="77" t="s">
        <v>78</v>
      </c>
      <c r="BH108" s="52">
        <f t="shared" ref="BH108:BN108" si="34">SUM(BH104:BH106)</f>
        <v>2934.3179131166667</v>
      </c>
      <c r="BI108" s="52">
        <f t="shared" si="34"/>
        <v>3793.2224440796667</v>
      </c>
      <c r="BJ108" s="52">
        <f t="shared" si="34"/>
        <v>3653.0779537369995</v>
      </c>
      <c r="BK108" s="74">
        <f t="shared" si="34"/>
        <v>10380.618310933332</v>
      </c>
      <c r="BL108" s="76">
        <f t="shared" si="34"/>
        <v>1.9369187261151273</v>
      </c>
      <c r="BM108" s="81">
        <f t="shared" si="34"/>
        <v>13074.227436526107</v>
      </c>
      <c r="BN108" s="76">
        <f t="shared" si="34"/>
        <v>2.4396332466635138</v>
      </c>
      <c r="BR108" s="337"/>
      <c r="BS108" s="337"/>
      <c r="BT108" s="337"/>
      <c r="BU108" s="337"/>
      <c r="BV108" s="337"/>
      <c r="BW108" s="337"/>
      <c r="BX108" s="337"/>
      <c r="BY108" s="337"/>
      <c r="BZ108" s="337"/>
      <c r="CA108" s="337"/>
      <c r="CB108" s="337"/>
      <c r="CC108" s="337"/>
    </row>
    <row r="109" spans="1:81">
      <c r="A109" s="699"/>
      <c r="B109" s="23"/>
      <c r="C109" s="17" t="s">
        <v>21</v>
      </c>
      <c r="D109" s="57"/>
      <c r="E109" s="2"/>
      <c r="F109" s="2"/>
      <c r="G109" s="63"/>
      <c r="H109" s="2"/>
      <c r="I109" s="20"/>
      <c r="J109" s="21"/>
      <c r="K109" s="21"/>
      <c r="L109" s="22"/>
      <c r="M109" s="212"/>
      <c r="N109" s="23"/>
      <c r="O109" s="19"/>
      <c r="P109" s="19"/>
      <c r="Q109" s="19"/>
      <c r="R109" s="33"/>
      <c r="T109" s="201">
        <f>SUMIF([2]VIC!$D$113:$D$145,$C109,[2]VIC!K$113:K$145)</f>
        <v>11783</v>
      </c>
      <c r="U109" s="198">
        <f>SUMIF([2]VIC!$D$113:$D$145,$C109,[2]VIC!L$113:L$145)</f>
        <v>69552</v>
      </c>
      <c r="V109" s="198">
        <f>SUMIF([2]VIC!$D$113:$D$145,$C109,[2]VIC!M$113:M$145)</f>
        <v>18387</v>
      </c>
      <c r="W109" s="63"/>
      <c r="X109" s="2"/>
      <c r="Y109" s="2"/>
      <c r="Z109" s="2"/>
      <c r="AA109" s="68"/>
      <c r="AB109" s="21"/>
      <c r="AC109" s="21"/>
      <c r="AD109" s="21"/>
      <c r="AE109" s="21"/>
      <c r="AF109" s="355"/>
      <c r="AG109" s="20">
        <f t="shared" si="32"/>
        <v>11783</v>
      </c>
      <c r="AH109" s="21">
        <f t="shared" si="32"/>
        <v>69552</v>
      </c>
      <c r="AI109" s="21">
        <f t="shared" si="32"/>
        <v>18387</v>
      </c>
      <c r="AJ109" s="21">
        <f>SUM(AG109:AI109)</f>
        <v>99722</v>
      </c>
      <c r="AK109" s="29">
        <f>AJ109/[2]Popn!$H$41*1000</f>
        <v>18.611348224881681</v>
      </c>
      <c r="AL109" s="19"/>
      <c r="AM109" s="57"/>
      <c r="AN109" s="2"/>
      <c r="AO109" s="2"/>
      <c r="AP109" s="63"/>
      <c r="AQ109" s="68"/>
      <c r="AR109" s="21"/>
      <c r="AS109" s="21"/>
      <c r="AT109" s="21"/>
      <c r="AU109" s="25"/>
      <c r="AV109" s="21"/>
      <c r="AW109" s="22"/>
      <c r="AX109" s="2"/>
      <c r="AY109" s="23"/>
      <c r="AZ109" s="19"/>
      <c r="BA109" s="19"/>
      <c r="BB109" s="19"/>
      <c r="BC109" s="24"/>
      <c r="BD109" s="30"/>
      <c r="BR109" s="337"/>
      <c r="BS109" s="337"/>
      <c r="BT109" s="337"/>
      <c r="BU109" s="337"/>
      <c r="BV109" s="337"/>
      <c r="BW109" s="337"/>
      <c r="BX109" s="337"/>
      <c r="BY109" s="337"/>
      <c r="BZ109" s="337"/>
      <c r="CA109" s="337"/>
      <c r="CB109" s="337"/>
      <c r="CC109" s="337"/>
    </row>
    <row r="110" spans="1:81" s="106" customFormat="1">
      <c r="A110" s="699"/>
      <c r="B110" s="107" t="s">
        <v>67</v>
      </c>
      <c r="C110" s="108"/>
      <c r="D110" s="109"/>
      <c r="E110" s="110"/>
      <c r="F110" s="110"/>
      <c r="G110" s="111"/>
      <c r="H110" s="110"/>
      <c r="I110" s="112">
        <f>D144*[2]VIC!K$22/(1-[2]VIC!$K$25)</f>
        <v>39254.448017167371</v>
      </c>
      <c r="J110" s="113">
        <f>E144*[2]VIC!L$31*[2]VIC!L$22/(1-[2]VIC!$L$25)</f>
        <v>35837.518079372087</v>
      </c>
      <c r="K110" s="113">
        <f>E144*[2]VIC!M$31*[2]VIC!M$22/(1-[2]VIC!$M$25)</f>
        <v>10346.547826539905</v>
      </c>
      <c r="L110" s="114">
        <f>SUM(I110:K110)</f>
        <v>85438.513923079357</v>
      </c>
      <c r="M110" s="562"/>
      <c r="N110" s="112">
        <f t="shared" ref="N110:P114" si="35">I110-AU110</f>
        <v>39254.448017167371</v>
      </c>
      <c r="O110" s="113">
        <f t="shared" si="35"/>
        <v>35837.518079372087</v>
      </c>
      <c r="P110" s="113">
        <f t="shared" si="35"/>
        <v>10346.547826539905</v>
      </c>
      <c r="Q110" s="113">
        <f>SUM(N110:P110)</f>
        <v>85438.513923079357</v>
      </c>
      <c r="R110" s="115">
        <f>Q110/[2]Popn!$H$41*1000</f>
        <v>15.945588079248628</v>
      </c>
      <c r="T110" s="201"/>
      <c r="U110" s="198"/>
      <c r="V110" s="198"/>
      <c r="W110" s="111"/>
      <c r="X110" s="110"/>
      <c r="Y110" s="110"/>
      <c r="Z110" s="110"/>
      <c r="AA110" s="116"/>
      <c r="AB110" s="113"/>
      <c r="AC110" s="113"/>
      <c r="AD110" s="113"/>
      <c r="AE110" s="113"/>
      <c r="AF110" s="567"/>
      <c r="AG110" s="112">
        <f>SUM(AG107:AG109)</f>
        <v>193846</v>
      </c>
      <c r="AH110" s="113">
        <f>SUM(AH107:AH109)</f>
        <v>709292</v>
      </c>
      <c r="AI110" s="113">
        <f>SUM(AI107:AI109)</f>
        <v>193792</v>
      </c>
      <c r="AJ110" s="113">
        <f>SUM(AJ107:AJ109)</f>
        <v>1096930</v>
      </c>
      <c r="AK110" s="118">
        <f>SUM(AK107:AK109)</f>
        <v>204.7225908858573</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c r="BU110" s="6"/>
      <c r="BV110" s="6"/>
      <c r="BW110" s="6"/>
      <c r="BX110" s="6"/>
      <c r="BY110" s="6"/>
      <c r="BZ110" s="6"/>
      <c r="CA110" s="6"/>
      <c r="CB110" s="6"/>
      <c r="CC110" s="6"/>
    </row>
    <row r="111" spans="1:81">
      <c r="A111" s="699"/>
      <c r="B111" s="23" t="s">
        <v>2</v>
      </c>
      <c r="C111" s="17" t="s">
        <v>22</v>
      </c>
      <c r="D111" s="57"/>
      <c r="E111" s="2"/>
      <c r="F111" s="2"/>
      <c r="G111" s="63"/>
      <c r="H111" s="2"/>
      <c r="I111" s="20">
        <f>D144*[2]VIC!K$14/(1-[2]VIC!$K$25)</f>
        <v>761001.33138547419</v>
      </c>
      <c r="J111" s="21">
        <f>E144*[2]VIC!L$31*[2]VIC!L$14/(1-[2]VIC!$L$25)</f>
        <v>376557.45099575515</v>
      </c>
      <c r="K111" s="21">
        <f>E144*[2]VIC!M$31*[2]VIC!M$14/(1-[2]VIC!$M$25)</f>
        <v>0</v>
      </c>
      <c r="L111" s="22">
        <f>SUM(I111:K111)</f>
        <v>1137558.7823812293</v>
      </c>
      <c r="M111" s="212"/>
      <c r="N111" s="20">
        <f t="shared" si="35"/>
        <v>624271.7762798958</v>
      </c>
      <c r="O111" s="21">
        <f t="shared" si="35"/>
        <v>331296.90398598701</v>
      </c>
      <c r="P111" s="21">
        <f t="shared" si="35"/>
        <v>0</v>
      </c>
      <c r="Q111" s="21">
        <f>SUM(N111:P111)</f>
        <v>955568.68026588275</v>
      </c>
      <c r="R111" s="34">
        <f>Q111/[2]Popn!$H$41*1000</f>
        <v>178.3399998116661</v>
      </c>
      <c r="T111" s="201">
        <f>SUMIF([2]VIC!$D$113:$D$145,$C111,[2]VIC!K$113:K$145)</f>
        <v>0</v>
      </c>
      <c r="U111" s="198">
        <f>SUMIF([2]VIC!$D$113:$D$145,$C111,[2]VIC!L$113:L$145)</f>
        <v>12546</v>
      </c>
      <c r="V111" s="198">
        <f>SUMIF([2]VIC!$D$113:$D$145,$C111,[2]VIC!M$113:M$145)</f>
        <v>0</v>
      </c>
      <c r="W111" s="63"/>
      <c r="X111" s="2"/>
      <c r="Y111" s="2"/>
      <c r="Z111" s="2"/>
      <c r="AA111" s="68"/>
      <c r="AB111" s="21"/>
      <c r="AC111" s="21"/>
      <c r="AD111" s="21"/>
      <c r="AE111" s="21"/>
      <c r="AF111" s="355"/>
      <c r="AG111" s="20">
        <f t="shared" ref="AG111:AI114" si="36">T111</f>
        <v>0</v>
      </c>
      <c r="AH111" s="21">
        <f t="shared" si="36"/>
        <v>12546</v>
      </c>
      <c r="AI111" s="21">
        <f t="shared" si="36"/>
        <v>0</v>
      </c>
      <c r="AJ111" s="21">
        <f>SUM(AG111:AI111)</f>
        <v>12546</v>
      </c>
      <c r="AK111" s="29">
        <f>AJ111/[2]Popn!$H$41*1000</f>
        <v>2.3414890879581796</v>
      </c>
      <c r="AL111" s="19"/>
      <c r="AM111" s="57"/>
      <c r="AN111" s="2"/>
      <c r="AO111" s="2"/>
      <c r="AP111" s="63"/>
      <c r="AQ111" s="70"/>
      <c r="AR111" s="21">
        <f>L111*'[2]Lfill en &amp; composn'!$D$16</f>
        <v>143332.40658003491</v>
      </c>
      <c r="AS111" s="35">
        <f>AR111/SUM($AR$101:$AR$143)</f>
        <v>0.42733057917538675</v>
      </c>
      <c r="AT111" s="21">
        <f>AS111*'[2]Lfill en &amp; composn'!$H$62/'[2]Lfill en &amp; composn'!$B$16</f>
        <v>204385.85296330255</v>
      </c>
      <c r="AU111" s="25">
        <f t="shared" ref="AU111:AW115" si="37">AT111*I111/$L111</f>
        <v>136729.55510557845</v>
      </c>
      <c r="AV111" s="21">
        <f t="shared" si="37"/>
        <v>45260.547009768161</v>
      </c>
      <c r="AW111" s="22">
        <f t="shared" si="37"/>
        <v>0</v>
      </c>
      <c r="AX111" s="82"/>
      <c r="AY111" s="20">
        <f>AU111</f>
        <v>136729.55510557845</v>
      </c>
      <c r="AZ111" s="21">
        <f>AN111+AQ111+AV111</f>
        <v>45260.547009768161</v>
      </c>
      <c r="BA111" s="21">
        <f>AW111</f>
        <v>0</v>
      </c>
      <c r="BB111" s="21">
        <f>SUM(AY111:BA111)</f>
        <v>181990.10211534661</v>
      </c>
      <c r="BC111" s="29">
        <f>BB111/[2]Popn!$H$41*1000</f>
        <v>33.965234992784865</v>
      </c>
      <c r="BD111" s="30"/>
    </row>
    <row r="112" spans="1:81">
      <c r="A112" s="699"/>
      <c r="B112" s="23"/>
      <c r="C112" s="17" t="s">
        <v>23</v>
      </c>
      <c r="D112" s="57"/>
      <c r="E112" s="2"/>
      <c r="F112" s="2"/>
      <c r="G112" s="63"/>
      <c r="H112" s="2"/>
      <c r="I112" s="20">
        <f>D144*[2]VIC!K$15/(1-[2]VIC!$K$25)</f>
        <v>167131.83912004478</v>
      </c>
      <c r="J112" s="21">
        <f>E144*[2]VIC!L$31*[2]VIC!L$15/(1-[2]VIC!$L$25)</f>
        <v>69830.458022305902</v>
      </c>
      <c r="K112" s="21">
        <f>E144*[2]VIC!M$31*[2]VIC!M$15/(1-[2]VIC!$M$25)</f>
        <v>24705.022361329979</v>
      </c>
      <c r="L112" s="22">
        <f>SUM(I112:K112)</f>
        <v>261667.31950368069</v>
      </c>
      <c r="M112" s="212"/>
      <c r="N112" s="20">
        <f t="shared" si="35"/>
        <v>150330.08023019793</v>
      </c>
      <c r="O112" s="21">
        <f t="shared" si="35"/>
        <v>65346.617544695735</v>
      </c>
      <c r="P112" s="21">
        <f t="shared" si="35"/>
        <v>24281.685662371525</v>
      </c>
      <c r="Q112" s="21">
        <f>SUM(N112:P112)</f>
        <v>239958.38343726518</v>
      </c>
      <c r="R112" s="34">
        <f>Q112/[2]Popn!$H$41*1000</f>
        <v>44.783989828028147</v>
      </c>
      <c r="T112" s="201">
        <f>SUMIF([2]VIC!$D$113:$D$145,$C112,[2]VIC!K$113:K$145)</f>
        <v>314881</v>
      </c>
      <c r="U112" s="198">
        <f>SUMIF([2]VIC!$D$113:$D$145,$C112,[2]VIC!L$113:L$145)</f>
        <v>6576</v>
      </c>
      <c r="V112" s="198">
        <f>SUMIF([2]VIC!$D$113:$D$145,$C112,[2]VIC!M$113:M$145)</f>
        <v>5375</v>
      </c>
      <c r="W112" s="63"/>
      <c r="X112" s="2"/>
      <c r="Y112" s="2"/>
      <c r="Z112" s="2"/>
      <c r="AA112" s="68"/>
      <c r="AB112" s="21"/>
      <c r="AC112" s="21"/>
      <c r="AD112" s="21"/>
      <c r="AE112" s="21"/>
      <c r="AF112" s="355"/>
      <c r="AG112" s="20">
        <f t="shared" si="36"/>
        <v>314881</v>
      </c>
      <c r="AH112" s="21">
        <f t="shared" si="36"/>
        <v>6576</v>
      </c>
      <c r="AI112" s="21">
        <f t="shared" si="36"/>
        <v>5375</v>
      </c>
      <c r="AJ112" s="21">
        <f>SUM(AG112:AI112)</f>
        <v>326832</v>
      </c>
      <c r="AK112" s="29">
        <f>AJ112/[2]Popn!$H$41*1000</f>
        <v>60.997414442495433</v>
      </c>
      <c r="AL112" s="19"/>
      <c r="AM112" s="57"/>
      <c r="AN112" s="2"/>
      <c r="AO112" s="2"/>
      <c r="AP112" s="63"/>
      <c r="AQ112" s="68"/>
      <c r="AR112" s="21">
        <f>L112*'[2]Lfill en &amp; composn'!$D$18</f>
        <v>24596.728033345986</v>
      </c>
      <c r="AS112" s="35">
        <f>AR112/SUM($AR$101:$AR$143)</f>
        <v>7.3332572075666971E-2</v>
      </c>
      <c r="AT112" s="21">
        <f>AS112*'[2]Lfill en &amp; composn'!$H$62/'[2]Lfill en &amp; composn'!$B$18</f>
        <v>26305.407962964713</v>
      </c>
      <c r="AU112" s="25">
        <f t="shared" si="37"/>
        <v>16801.758889846849</v>
      </c>
      <c r="AV112" s="21">
        <f t="shared" si="37"/>
        <v>4483.8404776101661</v>
      </c>
      <c r="AW112" s="22">
        <f t="shared" si="37"/>
        <v>423.33669895845543</v>
      </c>
      <c r="AX112" s="2"/>
      <c r="AY112" s="20">
        <f>AU112</f>
        <v>16801.758889846849</v>
      </c>
      <c r="AZ112" s="21">
        <f>AN112+AQ112+AV112</f>
        <v>4483.8404776101661</v>
      </c>
      <c r="BA112" s="21">
        <f>AW112</f>
        <v>423.33669895845543</v>
      </c>
      <c r="BB112" s="21">
        <f>SUM(AY112:BA112)</f>
        <v>21708.93606641547</v>
      </c>
      <c r="BC112" s="29">
        <f>BB112/[2]Popn!$H$41*1000</f>
        <v>4.051589104949274</v>
      </c>
      <c r="BD112" s="36"/>
    </row>
    <row r="113" spans="1:80">
      <c r="A113" s="699"/>
      <c r="B113" s="23"/>
      <c r="C113" s="17" t="s">
        <v>24</v>
      </c>
      <c r="D113" s="57"/>
      <c r="E113" s="2"/>
      <c r="F113" s="2"/>
      <c r="G113" s="63"/>
      <c r="H113" s="2"/>
      <c r="I113" s="20">
        <f>D144*[2]VIC!K$16/(1-[2]VIC!$K$25)</f>
        <v>12340.426408642483</v>
      </c>
      <c r="J113" s="21">
        <f>E144*[2]VIC!L$31*[2]VIC!L$16/(1-[2]VIC!$L$25)</f>
        <v>165485.00995474757</v>
      </c>
      <c r="K113" s="21">
        <f>E144*[2]VIC!M$31*[2]VIC!M$16/(1-[2]VIC!$M$25)</f>
        <v>99453.55155714888</v>
      </c>
      <c r="L113" s="22">
        <f>SUM(I113:K113)</f>
        <v>277278.98792053893</v>
      </c>
      <c r="M113" s="212"/>
      <c r="N113" s="20">
        <f t="shared" si="35"/>
        <v>11733.332744350837</v>
      </c>
      <c r="O113" s="21">
        <f t="shared" si="35"/>
        <v>165122.68570568634</v>
      </c>
      <c r="P113" s="21">
        <f t="shared" si="35"/>
        <v>99323.594239954895</v>
      </c>
      <c r="Q113" s="21">
        <f>SUM(N113:P113)</f>
        <v>276179.61268999206</v>
      </c>
      <c r="R113" s="34">
        <f>Q113/[2]Popn!$H$41*1000</f>
        <v>51.544041880291154</v>
      </c>
      <c r="T113" s="201">
        <f>SUMIF([2]VIC!$D$113:$D$145,$C113,[2]VIC!K$113:K$145)</f>
        <v>19167</v>
      </c>
      <c r="U113" s="198">
        <f>SUMIF([2]VIC!$D$113:$D$145,$C113,[2]VIC!L$113:L$145)</f>
        <v>264976</v>
      </c>
      <c r="V113" s="198">
        <f>SUMIF([2]VIC!$D$113:$D$145,$C113,[2]VIC!M$113:M$145)</f>
        <v>28510</v>
      </c>
      <c r="W113" s="63"/>
      <c r="X113" s="2"/>
      <c r="Y113" s="2"/>
      <c r="Z113" s="2"/>
      <c r="AA113" s="68"/>
      <c r="AB113" s="21"/>
      <c r="AC113" s="21"/>
      <c r="AD113" s="21"/>
      <c r="AE113" s="21"/>
      <c r="AF113" s="355"/>
      <c r="AG113" s="20">
        <f t="shared" si="36"/>
        <v>19167</v>
      </c>
      <c r="AH113" s="21">
        <f t="shared" si="36"/>
        <v>264976</v>
      </c>
      <c r="AI113" s="21">
        <f t="shared" si="36"/>
        <v>28510</v>
      </c>
      <c r="AJ113" s="21">
        <f>SUM(AG113:AI113)</f>
        <v>312653</v>
      </c>
      <c r="AK113" s="29">
        <f>AJ113/[2]Popn!$H$41*1000</f>
        <v>58.351154775816084</v>
      </c>
      <c r="AL113" s="19"/>
      <c r="AM113" s="57"/>
      <c r="AN113" s="2"/>
      <c r="AO113" s="2"/>
      <c r="AP113" s="63"/>
      <c r="AQ113" s="70"/>
      <c r="AR113" s="21">
        <f>L113*'[2]Lfill en &amp; composn'!$D$19</f>
        <v>27422.891905341301</v>
      </c>
      <c r="AS113" s="35">
        <f>AR113/SUM($AR$101:$AR$143)</f>
        <v>8.1758484073383583E-2</v>
      </c>
      <c r="AT113" s="21">
        <f>AS113*'[2]Lfill en &amp; composn'!$H$62/'[2]Lfill en &amp; composn'!$B$19</f>
        <v>13640.883323923712</v>
      </c>
      <c r="AU113" s="25">
        <f t="shared" si="37"/>
        <v>607.09366429164595</v>
      </c>
      <c r="AV113" s="21">
        <f t="shared" si="37"/>
        <v>362.32424906123026</v>
      </c>
      <c r="AW113" s="22">
        <f t="shared" si="37"/>
        <v>129.95731719398393</v>
      </c>
      <c r="AX113" s="2"/>
      <c r="AY113" s="20">
        <f>AU113</f>
        <v>607.09366429164595</v>
      </c>
      <c r="AZ113" s="21">
        <f>AN113+AQ113+AV113</f>
        <v>362.32424906123026</v>
      </c>
      <c r="BA113" s="21">
        <f>AW113</f>
        <v>129.95731719398393</v>
      </c>
      <c r="BB113" s="21">
        <f>SUM(AY113:BA113)</f>
        <v>1099.3752305468602</v>
      </c>
      <c r="BC113" s="29">
        <f>BB113/[2]Popn!$H$41*1000</f>
        <v>0.20517894993599403</v>
      </c>
    </row>
    <row r="114" spans="1:80">
      <c r="A114" s="699"/>
      <c r="B114" s="23"/>
      <c r="C114" s="17" t="s">
        <v>25</v>
      </c>
      <c r="D114" s="57"/>
      <c r="E114" s="2"/>
      <c r="F114" s="2"/>
      <c r="G114" s="63"/>
      <c r="H114" s="2"/>
      <c r="I114" s="20">
        <f>D144*[2]VIC!K$18/(1-[2]VIC!$K$25)</f>
        <v>914.10565989944314</v>
      </c>
      <c r="J114" s="21">
        <f>E144*[2]VIC!L$31*[2]VIC!L$18/(1-[2]VIC!$L$25)</f>
        <v>149147.31788915145</v>
      </c>
      <c r="K114" s="21">
        <f>E144*[2]VIC!M$31*[2]VIC!M$18/(1-[2]VIC!$M$25)</f>
        <v>211.15403727632457</v>
      </c>
      <c r="L114" s="22">
        <f>SUM(I114:K114)</f>
        <v>150272.57758632721</v>
      </c>
      <c r="M114" s="212"/>
      <c r="N114" s="20">
        <f t="shared" si="35"/>
        <v>816.34500542413787</v>
      </c>
      <c r="O114" s="21">
        <f t="shared" si="35"/>
        <v>149050.28927858075</v>
      </c>
      <c r="P114" s="21">
        <f t="shared" si="35"/>
        <v>211.01769847664207</v>
      </c>
      <c r="Q114" s="21">
        <f>SUM(N114:P114)</f>
        <v>150077.65198248153</v>
      </c>
      <c r="R114" s="34">
        <f>Q114/[2]Popn!$H$41*1000</f>
        <v>28.009340384454465</v>
      </c>
      <c r="T114" s="201">
        <f>SUMIF([2]VIC!$D$113:$D$145,$C114,[2]VIC!K$113:K$145)</f>
        <v>35081</v>
      </c>
      <c r="U114" s="198">
        <f>SUMIF([2]VIC!$D$113:$D$145,$C114,[2]VIC!L$113:L$145)</f>
        <v>44283</v>
      </c>
      <c r="V114" s="198">
        <f>SUMIF([2]VIC!$D$113:$D$145,$C114,[2]VIC!M$113:M$145)</f>
        <v>3000</v>
      </c>
      <c r="W114" s="63"/>
      <c r="X114" s="2"/>
      <c r="Y114" s="2"/>
      <c r="Z114" s="2"/>
      <c r="AA114" s="68"/>
      <c r="AB114" s="21"/>
      <c r="AC114" s="21"/>
      <c r="AD114" s="21"/>
      <c r="AE114" s="21"/>
      <c r="AF114" s="355"/>
      <c r="AG114" s="20">
        <f t="shared" si="36"/>
        <v>35081</v>
      </c>
      <c r="AH114" s="21">
        <f t="shared" si="36"/>
        <v>44283</v>
      </c>
      <c r="AI114" s="21">
        <f t="shared" si="36"/>
        <v>3000</v>
      </c>
      <c r="AJ114" s="21">
        <f>SUM(AG114:AI114)</f>
        <v>82364</v>
      </c>
      <c r="AK114" s="29">
        <f>AJ114/[2]Popn!$H$41*1000</f>
        <v>15.3717844126086</v>
      </c>
      <c r="AL114" s="19"/>
      <c r="AM114" s="57"/>
      <c r="AN114" s="2"/>
      <c r="AO114" s="2"/>
      <c r="AP114" s="63"/>
      <c r="AQ114" s="68"/>
      <c r="AR114" s="21">
        <f>L114*'[2]Lfill en &amp; composn'!$D$24</f>
        <v>18032.709310359263</v>
      </c>
      <c r="AS114" s="35">
        <f>AR114/SUM($AR$101:$AR$143)</f>
        <v>5.3762636779522192E-2</v>
      </c>
      <c r="AT114" s="21">
        <f>AS114*'[2]Lfill en &amp; composn'!$H$62/'[2]Lfill en &amp; composn'!$B$24</f>
        <v>16071.167895565275</v>
      </c>
      <c r="AU114" s="25">
        <f t="shared" si="37"/>
        <v>97.760654475305287</v>
      </c>
      <c r="AV114" s="21">
        <f t="shared" si="37"/>
        <v>97.028610570705382</v>
      </c>
      <c r="AW114" s="22">
        <f t="shared" si="37"/>
        <v>0.13633879968250998</v>
      </c>
      <c r="AX114" s="83"/>
      <c r="AY114" s="20">
        <f>AU114</f>
        <v>97.760654475305287</v>
      </c>
      <c r="AZ114" s="21">
        <f>AN114+AQ114+AV114</f>
        <v>97.028610570705382</v>
      </c>
      <c r="BA114" s="21">
        <f>AW114</f>
        <v>0.13633879968250998</v>
      </c>
      <c r="BB114" s="21">
        <f>SUM(AY114:BA114)</f>
        <v>194.92560384569316</v>
      </c>
      <c r="BC114" s="29">
        <f>BB114/[2]Popn!$H$41*1000</f>
        <v>3.6379417692360076E-2</v>
      </c>
    </row>
    <row r="115" spans="1:80">
      <c r="A115" s="699"/>
      <c r="B115" s="23"/>
      <c r="C115" s="17" t="s">
        <v>0</v>
      </c>
      <c r="D115" s="57"/>
      <c r="E115" s="2"/>
      <c r="F115" s="2"/>
      <c r="G115" s="63"/>
      <c r="H115" s="198">
        <f>[2]Biosolids!$H$198</f>
        <v>0</v>
      </c>
      <c r="I115" s="20"/>
      <c r="J115" s="21"/>
      <c r="K115" s="21"/>
      <c r="L115" s="22"/>
      <c r="M115" s="212"/>
      <c r="N115" s="23"/>
      <c r="O115" s="19"/>
      <c r="P115" s="19"/>
      <c r="Q115" s="19"/>
      <c r="R115" s="34"/>
      <c r="T115" s="201"/>
      <c r="U115" s="198"/>
      <c r="V115" s="198"/>
      <c r="W115" s="63"/>
      <c r="X115" s="2"/>
      <c r="Y115" s="2"/>
      <c r="Z115" s="2"/>
      <c r="AA115" s="70">
        <f>[2]Biosolids!$H$197</f>
        <v>31070</v>
      </c>
      <c r="AB115" s="21"/>
      <c r="AC115" s="21"/>
      <c r="AD115" s="21"/>
      <c r="AE115" s="21"/>
      <c r="AF115" s="355" t="s">
        <v>196</v>
      </c>
      <c r="AG115" s="20">
        <f>AA115</f>
        <v>31070</v>
      </c>
      <c r="AH115" s="21"/>
      <c r="AI115" s="21"/>
      <c r="AJ115" s="21">
        <f>SUM(AG115:AI115)</f>
        <v>31070</v>
      </c>
      <c r="AK115" s="29">
        <f>AJ115/[2]Popn!$H$41*1000</f>
        <v>5.7986661854663355</v>
      </c>
      <c r="AL115" s="19"/>
      <c r="AM115" s="57"/>
      <c r="AN115" s="2"/>
      <c r="AO115" s="2"/>
      <c r="AP115" s="63"/>
      <c r="AQ115" s="68"/>
      <c r="AR115" s="21"/>
      <c r="AS115" s="21"/>
      <c r="AT115" s="21">
        <f>AS115*'[2]Lfill en &amp; composn'!$H$62/'[2]Lfill en &amp; composn'!$B$21</f>
        <v>0</v>
      </c>
      <c r="AU115" s="25" t="e">
        <f t="shared" si="37"/>
        <v>#DIV/0!</v>
      </c>
      <c r="AV115" s="21" t="e">
        <f t="shared" si="37"/>
        <v>#DIV/0!</v>
      </c>
      <c r="AW115" s="22" t="e">
        <f t="shared" si="37"/>
        <v>#DIV/0!</v>
      </c>
      <c r="AX115" s="2"/>
      <c r="AY115" s="23"/>
      <c r="AZ115" s="19"/>
      <c r="BA115" s="19"/>
      <c r="BB115" s="19"/>
      <c r="BC115" s="24"/>
    </row>
    <row r="116" spans="1:80" s="106" customFormat="1" ht="25.5">
      <c r="A116" s="699"/>
      <c r="B116" s="107" t="s">
        <v>67</v>
      </c>
      <c r="C116" s="108"/>
      <c r="D116" s="109"/>
      <c r="E116" s="110"/>
      <c r="F116" s="110"/>
      <c r="G116" s="111"/>
      <c r="H116" s="110"/>
      <c r="I116" s="112">
        <f>SUM(I111:I115)</f>
        <v>941387.70257406088</v>
      </c>
      <c r="J116" s="113">
        <f>SUM(J111:J115)</f>
        <v>761020.23686196003</v>
      </c>
      <c r="K116" s="113">
        <f>SUM(K111:K115)</f>
        <v>124369.72795575518</v>
      </c>
      <c r="L116" s="114">
        <f>SUM(L111:L115)</f>
        <v>1826777.6673917761</v>
      </c>
      <c r="M116" s="562"/>
      <c r="N116" s="112">
        <f>SUM(N111:N115)</f>
        <v>787151.53425986867</v>
      </c>
      <c r="O116" s="113">
        <f>SUM(O111:O115)</f>
        <v>710816.49651494995</v>
      </c>
      <c r="P116" s="113">
        <f>SUM(P111:P115)</f>
        <v>123816.29760080307</v>
      </c>
      <c r="Q116" s="114">
        <f>SUM(Q111:Q115)</f>
        <v>1621784.3283756217</v>
      </c>
      <c r="R116" s="115">
        <f>SUM(R111:R115)</f>
        <v>302.67737190443984</v>
      </c>
      <c r="T116" s="201"/>
      <c r="U116" s="198"/>
      <c r="V116" s="198"/>
      <c r="W116" s="111"/>
      <c r="X116" s="110"/>
      <c r="Y116" s="110"/>
      <c r="Z116" s="110"/>
      <c r="AA116" s="116"/>
      <c r="AB116" s="113"/>
      <c r="AC116" s="113"/>
      <c r="AD116" s="113"/>
      <c r="AE116" s="113"/>
      <c r="AF116" s="567"/>
      <c r="AG116" s="112">
        <f>SUM(AG111:AG115)</f>
        <v>400199</v>
      </c>
      <c r="AH116" s="113">
        <f>SUM(AH111:AH115)</f>
        <v>328381</v>
      </c>
      <c r="AI116" s="113">
        <f>SUM(AI111:AI115)</f>
        <v>36885</v>
      </c>
      <c r="AJ116" s="113">
        <f>SUM(AJ111:AJ115)</f>
        <v>765465</v>
      </c>
      <c r="AK116" s="118">
        <f>SUM(AK111:AK115)</f>
        <v>142.86050890434464</v>
      </c>
      <c r="AL116" s="119"/>
      <c r="AM116" s="109"/>
      <c r="AN116" s="110"/>
      <c r="AO116" s="110"/>
      <c r="AP116" s="111"/>
      <c r="AQ116" s="116"/>
      <c r="AR116" s="113"/>
      <c r="AS116" s="113"/>
      <c r="AT116" s="113"/>
      <c r="AU116" s="120"/>
      <c r="AV116" s="113"/>
      <c r="AW116" s="114"/>
      <c r="AX116" s="110"/>
      <c r="AY116" s="112">
        <f>SUM(AY111:AY115)</f>
        <v>154236.16831419224</v>
      </c>
      <c r="AZ116" s="113">
        <f>SUM(AZ111:AZ115)</f>
        <v>50203.740347010265</v>
      </c>
      <c r="BA116" s="113">
        <f>SUM(BA111:BA115)</f>
        <v>553.43035495212189</v>
      </c>
      <c r="BB116" s="114">
        <f>SUM(BB111:BB115)</f>
        <v>204993.33901615464</v>
      </c>
      <c r="BC116" s="118">
        <f>SUM(BC111:BC115)</f>
        <v>38.258382465362487</v>
      </c>
      <c r="BD116" s="122"/>
      <c r="BG116" s="146"/>
      <c r="BH116" s="138" t="s">
        <v>72</v>
      </c>
      <c r="BI116" s="138" t="s">
        <v>68</v>
      </c>
      <c r="BJ116" s="138" t="s">
        <v>69</v>
      </c>
      <c r="BK116" s="138" t="s">
        <v>73</v>
      </c>
      <c r="BL116" s="138" t="s">
        <v>78</v>
      </c>
      <c r="BM116" s="6"/>
      <c r="BN116" s="6"/>
      <c r="BO116" s="6"/>
      <c r="BU116" s="6"/>
      <c r="BV116" s="6"/>
      <c r="BW116" s="6"/>
      <c r="BX116" s="6"/>
      <c r="BY116" s="6"/>
      <c r="BZ116" s="6"/>
      <c r="CA116" s="6"/>
      <c r="CB116" s="6"/>
    </row>
    <row r="117" spans="1:80">
      <c r="A117" s="699"/>
      <c r="B117" s="23" t="s">
        <v>5</v>
      </c>
      <c r="C117" s="17" t="s">
        <v>26</v>
      </c>
      <c r="D117" s="57"/>
      <c r="E117" s="2"/>
      <c r="F117" s="2"/>
      <c r="G117" s="63"/>
      <c r="H117" s="2"/>
      <c r="I117" s="20"/>
      <c r="J117" s="21"/>
      <c r="K117" s="21"/>
      <c r="L117" s="22"/>
      <c r="M117" s="212"/>
      <c r="N117" s="23"/>
      <c r="O117" s="19"/>
      <c r="P117" s="19"/>
      <c r="Q117" s="19"/>
      <c r="R117" s="33"/>
      <c r="T117" s="201">
        <f>SUMIF([2]VIC!$D$113:$D$145,$C117,[2]VIC!K$113:K$145)</f>
        <v>28485.25</v>
      </c>
      <c r="U117" s="198">
        <f>SUMIF([2]VIC!$D$113:$D$145,$C117,[2]VIC!L$113:L$145)</f>
        <v>463128.25</v>
      </c>
      <c r="V117" s="198">
        <f>SUMIF([2]VIC!$D$113:$D$145,$C117,[2]VIC!M$113:M$145)</f>
        <v>0</v>
      </c>
      <c r="W117" s="63"/>
      <c r="X117" s="2"/>
      <c r="Y117" s="2"/>
      <c r="Z117" s="2"/>
      <c r="AA117" s="68"/>
      <c r="AB117" s="21"/>
      <c r="AC117" s="21"/>
      <c r="AD117" s="21"/>
      <c r="AE117" s="21"/>
      <c r="AF117" s="355"/>
      <c r="AG117" s="20">
        <f t="shared" ref="AG117:AI120" si="38">T117</f>
        <v>28485.25</v>
      </c>
      <c r="AH117" s="21">
        <f t="shared" si="38"/>
        <v>463128.25</v>
      </c>
      <c r="AI117" s="21">
        <f t="shared" si="38"/>
        <v>0</v>
      </c>
      <c r="AJ117" s="21">
        <f>SUM(AG117:AI117)</f>
        <v>491613.5</v>
      </c>
      <c r="AK117" s="29">
        <f>AJ117/[2]Popn!$H$41*1000</f>
        <v>91.750968096837909</v>
      </c>
      <c r="AL117" s="19"/>
      <c r="AM117" s="57"/>
      <c r="AN117" s="2"/>
      <c r="AO117" s="2"/>
      <c r="AP117" s="63"/>
      <c r="AQ117" s="68"/>
      <c r="AR117" s="21"/>
      <c r="AS117" s="21"/>
      <c r="AT117" s="21"/>
      <c r="AU117" s="25"/>
      <c r="AV117" s="21"/>
      <c r="AW117" s="22"/>
      <c r="AX117" s="2"/>
      <c r="AY117" s="23"/>
      <c r="AZ117" s="19"/>
      <c r="BA117" s="19"/>
      <c r="BB117" s="19"/>
      <c r="BC117" s="24"/>
      <c r="BG117" s="147" t="s">
        <v>3</v>
      </c>
      <c r="BH117" s="52">
        <f>Q106/1000</f>
        <v>1203.7756957636159</v>
      </c>
      <c r="BI117" s="52">
        <f>AJ106/1000</f>
        <v>2447.5140000000001</v>
      </c>
      <c r="BJ117" s="52">
        <f>BB106/1000</f>
        <v>0</v>
      </c>
      <c r="BK117" s="137">
        <f>SUM(BI117:BJ117)/BL117</f>
        <v>0.67031493086941629</v>
      </c>
      <c r="BL117" s="52">
        <f>SUM(BH117:BJ117)</f>
        <v>3651.2896957636158</v>
      </c>
      <c r="BU117" s="106"/>
      <c r="BV117" s="106"/>
      <c r="BW117" s="106"/>
      <c r="BX117" s="106"/>
      <c r="BY117" s="106"/>
      <c r="BZ117" s="106"/>
      <c r="CA117" s="106"/>
      <c r="CB117" s="106"/>
    </row>
    <row r="118" spans="1:80">
      <c r="A118" s="699"/>
      <c r="B118" s="23"/>
      <c r="C118" s="17" t="s">
        <v>27</v>
      </c>
      <c r="D118" s="57"/>
      <c r="E118" s="2"/>
      <c r="F118" s="2"/>
      <c r="G118" s="63"/>
      <c r="H118" s="2"/>
      <c r="I118" s="20"/>
      <c r="J118" s="21"/>
      <c r="K118" s="21"/>
      <c r="L118" s="22"/>
      <c r="M118" s="212"/>
      <c r="N118" s="23"/>
      <c r="O118" s="19"/>
      <c r="P118" s="19"/>
      <c r="Q118" s="19"/>
      <c r="R118" s="33"/>
      <c r="T118" s="201">
        <f>SUMIF([2]VIC!$D$113:$D$145,$C118,[2]VIC!K$113:K$145)</f>
        <v>0</v>
      </c>
      <c r="U118" s="198">
        <f>SUMIF([2]VIC!$D$113:$D$145,$C118,[2]VIC!L$113:L$145)</f>
        <v>0</v>
      </c>
      <c r="V118" s="198">
        <f>SUMIF([2]VIC!$D$113:$D$145,$C118,[2]VIC!M$113:M$145)</f>
        <v>0</v>
      </c>
      <c r="W118" s="63"/>
      <c r="X118" s="2"/>
      <c r="Y118" s="2"/>
      <c r="Z118" s="2"/>
      <c r="AA118" s="68"/>
      <c r="AB118" s="21"/>
      <c r="AC118" s="21"/>
      <c r="AD118" s="21"/>
      <c r="AE118" s="21"/>
      <c r="AF118" s="355"/>
      <c r="AG118" s="20">
        <f t="shared" si="38"/>
        <v>0</v>
      </c>
      <c r="AH118" s="21">
        <f t="shared" si="38"/>
        <v>0</v>
      </c>
      <c r="AI118" s="21">
        <f t="shared" si="38"/>
        <v>0</v>
      </c>
      <c r="AJ118" s="21">
        <f>SUM(AG118:AI118)</f>
        <v>0</v>
      </c>
      <c r="AK118" s="29">
        <f>AJ118/[2]Popn!$H$41*1000</f>
        <v>0</v>
      </c>
      <c r="AL118" s="19"/>
      <c r="AM118" s="57"/>
      <c r="AN118" s="2"/>
      <c r="AO118" s="2"/>
      <c r="AP118" s="63"/>
      <c r="AQ118" s="68"/>
      <c r="AR118" s="21"/>
      <c r="AS118" s="21"/>
      <c r="AT118" s="21"/>
      <c r="AU118" s="25"/>
      <c r="AV118" s="21"/>
      <c r="AW118" s="22"/>
      <c r="AX118" s="2"/>
      <c r="AY118" s="23"/>
      <c r="AZ118" s="19"/>
      <c r="BA118" s="19"/>
      <c r="BB118" s="19"/>
      <c r="BC118" s="24"/>
      <c r="BG118" s="147" t="s">
        <v>4</v>
      </c>
      <c r="BH118" s="52">
        <f>Q110/1000</f>
        <v>85.438513923079356</v>
      </c>
      <c r="BI118" s="52">
        <f>AJ110/1000</f>
        <v>1096.93</v>
      </c>
      <c r="BJ118" s="52">
        <f>BB110/1000</f>
        <v>0</v>
      </c>
      <c r="BK118" s="137">
        <f t="shared" ref="BK118:BK125" si="39">SUM(BI118:BJ118)/BL118</f>
        <v>0.92773952205510291</v>
      </c>
      <c r="BL118" s="52">
        <f t="shared" ref="BL118:BL125" si="40">SUM(BH118:BJ118)</f>
        <v>1182.3685139230795</v>
      </c>
    </row>
    <row r="119" spans="1:80">
      <c r="A119" s="699"/>
      <c r="B119" s="23"/>
      <c r="C119" s="17" t="s">
        <v>28</v>
      </c>
      <c r="D119" s="57"/>
      <c r="E119" s="2"/>
      <c r="F119" s="2"/>
      <c r="G119" s="63"/>
      <c r="H119" s="2"/>
      <c r="I119" s="20"/>
      <c r="J119" s="21"/>
      <c r="K119" s="21"/>
      <c r="L119" s="22"/>
      <c r="M119" s="212"/>
      <c r="N119" s="23"/>
      <c r="O119" s="19"/>
      <c r="P119" s="19"/>
      <c r="Q119" s="19"/>
      <c r="R119" s="33"/>
      <c r="T119" s="201">
        <f>SUMIF([2]VIC!$D$113:$D$145,$C119,[2]VIC!K$113:K$145)</f>
        <v>82691.25</v>
      </c>
      <c r="U119" s="198">
        <f>SUMIF([2]VIC!$D$113:$D$145,$C119,[2]VIC!L$113:L$145)</f>
        <v>350950.25</v>
      </c>
      <c r="V119" s="198">
        <f>SUMIF([2]VIC!$D$113:$D$145,$C119,[2]VIC!M$113:M$145)</f>
        <v>0</v>
      </c>
      <c r="W119" s="63"/>
      <c r="X119" s="2"/>
      <c r="Y119" s="2"/>
      <c r="Z119" s="2"/>
      <c r="AA119" s="68"/>
      <c r="AB119" s="21"/>
      <c r="AC119" s="21"/>
      <c r="AD119" s="21"/>
      <c r="AE119" s="21"/>
      <c r="AF119" s="355"/>
      <c r="AG119" s="20">
        <f t="shared" si="38"/>
        <v>82691.25</v>
      </c>
      <c r="AH119" s="21">
        <f t="shared" si="38"/>
        <v>350950.25</v>
      </c>
      <c r="AI119" s="21">
        <f t="shared" si="38"/>
        <v>0</v>
      </c>
      <c r="AJ119" s="21">
        <f>SUM(AG119:AI119)</f>
        <v>433641.5</v>
      </c>
      <c r="AK119" s="29">
        <f>AJ119/[2]Popn!$H$41*1000</f>
        <v>80.931519236076582</v>
      </c>
      <c r="AL119" s="19"/>
      <c r="AM119" s="57"/>
      <c r="AN119" s="2"/>
      <c r="AO119" s="2"/>
      <c r="AP119" s="63"/>
      <c r="AQ119" s="68"/>
      <c r="AR119" s="21"/>
      <c r="AS119" s="21"/>
      <c r="AT119" s="21"/>
      <c r="AU119" s="25"/>
      <c r="AV119" s="21"/>
      <c r="AW119" s="22"/>
      <c r="AX119" s="2"/>
      <c r="AY119" s="23"/>
      <c r="AZ119" s="19"/>
      <c r="BA119" s="19"/>
      <c r="BB119" s="19"/>
      <c r="BC119" s="24"/>
      <c r="BG119" s="147" t="s">
        <v>2</v>
      </c>
      <c r="BH119" s="52">
        <f>Q116/1000</f>
        <v>1621.7843283756217</v>
      </c>
      <c r="BI119" s="52">
        <f>AJ116/1000</f>
        <v>765.46500000000003</v>
      </c>
      <c r="BJ119" s="52">
        <f>BB116/1000</f>
        <v>204.99333901615464</v>
      </c>
      <c r="BK119" s="137">
        <f t="shared" si="39"/>
        <v>0.37437017422161173</v>
      </c>
      <c r="BL119" s="52">
        <f t="shared" si="40"/>
        <v>2592.2426673917762</v>
      </c>
    </row>
    <row r="120" spans="1:80">
      <c r="A120" s="699"/>
      <c r="B120" s="23"/>
      <c r="C120" s="17" t="s">
        <v>29</v>
      </c>
      <c r="D120" s="57"/>
      <c r="E120" s="2"/>
      <c r="F120" s="2"/>
      <c r="G120" s="63"/>
      <c r="H120" s="2"/>
      <c r="I120" s="20"/>
      <c r="J120" s="21"/>
      <c r="K120" s="21"/>
      <c r="L120" s="22"/>
      <c r="M120" s="212"/>
      <c r="N120" s="23"/>
      <c r="O120" s="19"/>
      <c r="P120" s="19"/>
      <c r="Q120" s="19"/>
      <c r="R120" s="33"/>
      <c r="T120" s="201">
        <f>SUMIF([2]VIC!$D$113:$D$145,$C120,[2]VIC!K$113:K$145)</f>
        <v>14469.25</v>
      </c>
      <c r="U120" s="198">
        <f>SUMIF([2]VIC!$D$113:$D$145,$C120,[2]VIC!L$113:L$145)</f>
        <v>8814.25</v>
      </c>
      <c r="V120" s="198">
        <f>SUMIF([2]VIC!$D$113:$D$145,$C120,[2]VIC!M$113:M$145)</f>
        <v>0</v>
      </c>
      <c r="W120" s="63"/>
      <c r="X120" s="2"/>
      <c r="Y120" s="2"/>
      <c r="Z120" s="2"/>
      <c r="AA120" s="68"/>
      <c r="AB120" s="21"/>
      <c r="AC120" s="21"/>
      <c r="AD120" s="21"/>
      <c r="AE120" s="21"/>
      <c r="AF120" s="355"/>
      <c r="AG120" s="20">
        <f t="shared" si="38"/>
        <v>14469.25</v>
      </c>
      <c r="AH120" s="21">
        <f t="shared" si="38"/>
        <v>8814.25</v>
      </c>
      <c r="AI120" s="21">
        <f t="shared" si="38"/>
        <v>0</v>
      </c>
      <c r="AJ120" s="21">
        <f>SUM(AG120:AI120)</f>
        <v>23283.5</v>
      </c>
      <c r="AK120" s="29">
        <f>AJ120/[2]Popn!$H$41*1000</f>
        <v>4.3454536250178757</v>
      </c>
      <c r="AL120" s="19"/>
      <c r="AM120" s="57"/>
      <c r="AN120" s="2"/>
      <c r="AO120" s="2"/>
      <c r="AP120" s="63"/>
      <c r="AQ120" s="68"/>
      <c r="AR120" s="21"/>
      <c r="AS120" s="21"/>
      <c r="AT120" s="21"/>
      <c r="AU120" s="25"/>
      <c r="AV120" s="21"/>
      <c r="AW120" s="22"/>
      <c r="AX120" s="2"/>
      <c r="AY120" s="23"/>
      <c r="AZ120" s="19"/>
      <c r="BA120" s="19"/>
      <c r="BB120" s="19"/>
      <c r="BC120" s="24"/>
      <c r="BG120" s="147" t="s">
        <v>5</v>
      </c>
      <c r="BH120" s="52">
        <f>Q121/1000</f>
        <v>450.02860635645703</v>
      </c>
      <c r="BI120" s="52">
        <f>AJ121/1000</f>
        <v>948.5385</v>
      </c>
      <c r="BJ120" s="52">
        <f>BB121/1000</f>
        <v>36.699586397825669</v>
      </c>
      <c r="BK120" s="137">
        <f t="shared" si="39"/>
        <v>0.68644948800919336</v>
      </c>
      <c r="BL120" s="52">
        <f t="shared" si="40"/>
        <v>1435.2666927542828</v>
      </c>
    </row>
    <row r="121" spans="1:80" s="106" customFormat="1">
      <c r="A121" s="699"/>
      <c r="B121" s="107" t="s">
        <v>67</v>
      </c>
      <c r="C121" s="108"/>
      <c r="D121" s="109"/>
      <c r="E121" s="110"/>
      <c r="F121" s="110"/>
      <c r="G121" s="111"/>
      <c r="H121" s="110"/>
      <c r="I121" s="112">
        <f>D144*[2]VIC!K$13/(1-[2]VIC!$K$25)</f>
        <v>229954.9786919294</v>
      </c>
      <c r="J121" s="113">
        <f>E144*[2]VIC!L$31*[2]VIC!L$13/(1-[2]VIC!$L$25)</f>
        <v>251916.67120499787</v>
      </c>
      <c r="K121" s="113">
        <f>E144*[2]VIC!M$31*[2]VIC!M$13/(1-[2]VIC!$M$25)</f>
        <v>4856.5428573554655</v>
      </c>
      <c r="L121" s="114">
        <f>SUM(I121:K121)</f>
        <v>486728.19275428273</v>
      </c>
      <c r="M121" s="562"/>
      <c r="N121" s="112">
        <f>I121-AU121</f>
        <v>205853.89366542833</v>
      </c>
      <c r="O121" s="113">
        <f>J121-AV121</f>
        <v>239442.63497145294</v>
      </c>
      <c r="P121" s="113">
        <f>K121-AW121</f>
        <v>4732.0777195757864</v>
      </c>
      <c r="Q121" s="113">
        <f>SUM(N121:P121)</f>
        <v>450028.60635645705</v>
      </c>
      <c r="R121" s="115">
        <f>Q121/[2]Popn!$H$41*1000</f>
        <v>83.98988291508617</v>
      </c>
      <c r="T121" s="201"/>
      <c r="U121" s="198"/>
      <c r="V121" s="198"/>
      <c r="W121" s="111"/>
      <c r="X121" s="110"/>
      <c r="Y121" s="110"/>
      <c r="Z121" s="110"/>
      <c r="AA121" s="116"/>
      <c r="AB121" s="113"/>
      <c r="AC121" s="113"/>
      <c r="AD121" s="113"/>
      <c r="AE121" s="113"/>
      <c r="AF121" s="567"/>
      <c r="AG121" s="112">
        <f>SUM(AG117:AG120)</f>
        <v>125645.75</v>
      </c>
      <c r="AH121" s="113">
        <f>SUM(AH117:AH120)</f>
        <v>822892.75</v>
      </c>
      <c r="AI121" s="113">
        <f>SUM(AI117:AI120)</f>
        <v>0</v>
      </c>
      <c r="AJ121" s="113">
        <f>SUM(AJ117:AJ120)</f>
        <v>948538.5</v>
      </c>
      <c r="AK121" s="118">
        <f>SUM(AK117:AK120)</f>
        <v>177.02794095793237</v>
      </c>
      <c r="AL121" s="119"/>
      <c r="AM121" s="109"/>
      <c r="AN121" s="110"/>
      <c r="AO121" s="110"/>
      <c r="AP121" s="111"/>
      <c r="AQ121" s="117"/>
      <c r="AR121" s="113">
        <f>L121*'[2]Lfill en &amp; composn'!$D$17</f>
        <v>95398.725779839413</v>
      </c>
      <c r="AS121" s="123">
        <f>AR121/SUM($AR$101:$AR$143)</f>
        <v>0.284421323222038</v>
      </c>
      <c r="AT121" s="113">
        <f>AS121*'[2]Lfill en &amp; composn'!$H$62/'[2]Lfill en &amp; composn'!$B$17</f>
        <v>51012.931422901478</v>
      </c>
      <c r="AU121" s="25">
        <f>AT121*I121/$L121</f>
        <v>24101.085026501059</v>
      </c>
      <c r="AV121" s="21">
        <f>AU121*J121/$L121</f>
        <v>12474.036233544932</v>
      </c>
      <c r="AW121" s="22">
        <f>AV121*K121/$L121</f>
        <v>124.4651377796789</v>
      </c>
      <c r="AX121" s="110"/>
      <c r="AY121" s="112">
        <f>AU121</f>
        <v>24101.085026501059</v>
      </c>
      <c r="AZ121" s="113">
        <f>AN121+AQ121+AV121</f>
        <v>12474.036233544932</v>
      </c>
      <c r="BA121" s="113">
        <f>AW121</f>
        <v>124.4651377796789</v>
      </c>
      <c r="BB121" s="113">
        <f>SUM(AY121:BA121)</f>
        <v>36699.586397825668</v>
      </c>
      <c r="BC121" s="118">
        <f>BB121/[2]Popn!$H$41*1000</f>
        <v>6.8493289560885717</v>
      </c>
      <c r="BD121" s="122"/>
      <c r="BG121" s="147" t="s">
        <v>6</v>
      </c>
      <c r="BH121" s="52">
        <f>Q131/1000</f>
        <v>380.26831552781528</v>
      </c>
      <c r="BI121" s="52">
        <f>AJ131/1000</f>
        <v>147.36833333333334</v>
      </c>
      <c r="BJ121" s="52">
        <f>BB131/1000</f>
        <v>0</v>
      </c>
      <c r="BK121" s="137">
        <f t="shared" si="39"/>
        <v>0.27929889565369137</v>
      </c>
      <c r="BL121" s="52">
        <f t="shared" si="40"/>
        <v>527.63664886114861</v>
      </c>
      <c r="BM121" s="6"/>
      <c r="BN121" s="6"/>
      <c r="BO121" s="6"/>
      <c r="BU121" s="6"/>
      <c r="BV121" s="6"/>
      <c r="BW121" s="6"/>
      <c r="BX121" s="6"/>
      <c r="BY121" s="6"/>
      <c r="BZ121" s="6"/>
      <c r="CA121" s="6"/>
      <c r="CB121" s="6"/>
    </row>
    <row r="122" spans="1:80">
      <c r="A122" s="699"/>
      <c r="B122" s="23" t="s">
        <v>6</v>
      </c>
      <c r="C122" s="17" t="s">
        <v>30</v>
      </c>
      <c r="D122" s="57"/>
      <c r="E122" s="2"/>
      <c r="F122" s="2"/>
      <c r="G122" s="63"/>
      <c r="H122" s="2"/>
      <c r="I122" s="20"/>
      <c r="J122" s="21"/>
      <c r="K122" s="21"/>
      <c r="L122" s="22"/>
      <c r="M122" s="212"/>
      <c r="N122" s="23"/>
      <c r="O122" s="19"/>
      <c r="P122" s="19"/>
      <c r="Q122" s="19"/>
      <c r="R122" s="33"/>
      <c r="T122" s="201"/>
      <c r="U122" s="198"/>
      <c r="V122" s="198"/>
      <c r="W122" s="63"/>
      <c r="X122" s="2"/>
      <c r="Y122" s="2"/>
      <c r="Z122" s="2"/>
      <c r="AA122" s="68"/>
      <c r="AB122" s="21"/>
      <c r="AC122" s="21"/>
      <c r="AD122" s="21"/>
      <c r="AE122" s="21"/>
      <c r="AF122" s="355"/>
      <c r="AG122" s="20"/>
      <c r="AH122" s="21"/>
      <c r="AI122" s="21"/>
      <c r="AJ122" s="21"/>
      <c r="AK122" s="29"/>
      <c r="AL122" s="19"/>
      <c r="AM122" s="57"/>
      <c r="AN122" s="2"/>
      <c r="AO122" s="2"/>
      <c r="AP122" s="63"/>
      <c r="AQ122" s="68"/>
      <c r="AR122" s="21"/>
      <c r="AS122" s="21"/>
      <c r="AT122" s="21"/>
      <c r="AU122" s="25"/>
      <c r="AV122" s="21"/>
      <c r="AW122" s="22"/>
      <c r="AX122" s="2"/>
      <c r="AY122" s="23"/>
      <c r="AZ122" s="19"/>
      <c r="BA122" s="19"/>
      <c r="BB122" s="19"/>
      <c r="BC122" s="24"/>
      <c r="BG122" s="147" t="s">
        <v>8</v>
      </c>
      <c r="BH122" s="52">
        <f>Q132/1000</f>
        <v>86.011757487230483</v>
      </c>
      <c r="BI122" s="52">
        <f>AJ132/1000</f>
        <v>159.03299999999999</v>
      </c>
      <c r="BJ122" s="52">
        <f>BB132/1000</f>
        <v>0</v>
      </c>
      <c r="BK122" s="137">
        <f t="shared" si="39"/>
        <v>0.64899572482503465</v>
      </c>
      <c r="BL122" s="52">
        <f t="shared" si="40"/>
        <v>245.04475748723047</v>
      </c>
      <c r="BU122" s="106"/>
      <c r="BV122" s="106"/>
      <c r="BW122" s="106"/>
      <c r="BX122" s="106"/>
      <c r="BY122" s="106"/>
      <c r="BZ122" s="106"/>
      <c r="CA122" s="106"/>
      <c r="CB122" s="106"/>
    </row>
    <row r="123" spans="1:80">
      <c r="A123" s="699"/>
      <c r="B123" s="23"/>
      <c r="C123" s="17" t="s">
        <v>31</v>
      </c>
      <c r="D123" s="57"/>
      <c r="E123" s="2"/>
      <c r="F123" s="2"/>
      <c r="G123" s="63"/>
      <c r="H123" s="2"/>
      <c r="I123" s="20"/>
      <c r="J123" s="21"/>
      <c r="K123" s="21"/>
      <c r="L123" s="22"/>
      <c r="M123" s="212"/>
      <c r="N123" s="23"/>
      <c r="O123" s="19"/>
      <c r="P123" s="19"/>
      <c r="Q123" s="19"/>
      <c r="R123" s="33"/>
      <c r="T123" s="201"/>
      <c r="U123" s="198"/>
      <c r="V123" s="198"/>
      <c r="W123" s="63"/>
      <c r="X123" s="2"/>
      <c r="Y123" s="2"/>
      <c r="Z123" s="2"/>
      <c r="AA123" s="68"/>
      <c r="AB123" s="21"/>
      <c r="AC123" s="21"/>
      <c r="AD123" s="21"/>
      <c r="AE123" s="21"/>
      <c r="AF123" s="355"/>
      <c r="AG123" s="20"/>
      <c r="AH123" s="21"/>
      <c r="AI123" s="21"/>
      <c r="AJ123" s="21"/>
      <c r="AK123" s="29"/>
      <c r="AL123" s="19"/>
      <c r="AM123" s="57"/>
      <c r="AN123" s="2"/>
      <c r="AO123" s="2"/>
      <c r="AP123" s="63"/>
      <c r="AQ123" s="68"/>
      <c r="AR123" s="21"/>
      <c r="AS123" s="21"/>
      <c r="AT123" s="21"/>
      <c r="AU123" s="25"/>
      <c r="AV123" s="21"/>
      <c r="AW123" s="22"/>
      <c r="AX123" s="2"/>
      <c r="AY123" s="23"/>
      <c r="AZ123" s="19"/>
      <c r="BA123" s="19"/>
      <c r="BB123" s="19"/>
      <c r="BC123" s="24"/>
      <c r="BG123" s="147" t="s">
        <v>7</v>
      </c>
      <c r="BH123" s="52">
        <f>Q135/1000</f>
        <v>157.91948639136425</v>
      </c>
      <c r="BI123" s="52">
        <f>AJ135/1000</f>
        <v>221.26829999999998</v>
      </c>
      <c r="BJ123" s="52">
        <f>BB135/1000</f>
        <v>13.801548360835127</v>
      </c>
      <c r="BK123" s="137">
        <f t="shared" si="39"/>
        <v>0.5981583406304376</v>
      </c>
      <c r="BL123" s="52">
        <f t="shared" si="40"/>
        <v>392.98933475219934</v>
      </c>
    </row>
    <row r="124" spans="1:80">
      <c r="A124" s="699"/>
      <c r="B124" s="23"/>
      <c r="C124" s="17" t="s">
        <v>32</v>
      </c>
      <c r="D124" s="57"/>
      <c r="E124" s="2"/>
      <c r="F124" s="2"/>
      <c r="G124" s="63"/>
      <c r="H124" s="2"/>
      <c r="I124" s="20"/>
      <c r="J124" s="21"/>
      <c r="K124" s="21"/>
      <c r="L124" s="22"/>
      <c r="M124" s="212"/>
      <c r="N124" s="23"/>
      <c r="O124" s="19"/>
      <c r="P124" s="19"/>
      <c r="Q124" s="19"/>
      <c r="R124" s="33"/>
      <c r="T124" s="201"/>
      <c r="U124" s="198"/>
      <c r="V124" s="198"/>
      <c r="W124" s="63"/>
      <c r="X124" s="2"/>
      <c r="Y124" s="2"/>
      <c r="Z124" s="2"/>
      <c r="AA124" s="68"/>
      <c r="AB124" s="21"/>
      <c r="AC124" s="21"/>
      <c r="AD124" s="21"/>
      <c r="AE124" s="21"/>
      <c r="AF124" s="355"/>
      <c r="AG124" s="20"/>
      <c r="AH124" s="21"/>
      <c r="AI124" s="21"/>
      <c r="AJ124" s="21"/>
      <c r="AK124" s="29"/>
      <c r="AL124" s="19"/>
      <c r="AM124" s="57"/>
      <c r="AN124" s="2"/>
      <c r="AO124" s="2"/>
      <c r="AP124" s="63"/>
      <c r="AQ124" s="68"/>
      <c r="AR124" s="21"/>
      <c r="AS124" s="21"/>
      <c r="AT124" s="21"/>
      <c r="AU124" s="25"/>
      <c r="AV124" s="21"/>
      <c r="AW124" s="22"/>
      <c r="AX124" s="2"/>
      <c r="AY124" s="23"/>
      <c r="AZ124" s="19"/>
      <c r="BA124" s="19"/>
      <c r="BB124" s="19"/>
      <c r="BC124" s="24"/>
      <c r="BG124" s="147" t="s">
        <v>11</v>
      </c>
      <c r="BH124" s="52">
        <f>Q140/1000</f>
        <v>353.78</v>
      </c>
      <c r="BI124" s="52">
        <f>AJ140/1000</f>
        <v>0</v>
      </c>
      <c r="BJ124" s="52">
        <f>BB140/1000</f>
        <v>0</v>
      </c>
      <c r="BK124" s="137">
        <f t="shared" si="39"/>
        <v>0</v>
      </c>
      <c r="BL124" s="52">
        <f t="shared" si="40"/>
        <v>353.78</v>
      </c>
    </row>
    <row r="125" spans="1:80" s="90" customFormat="1">
      <c r="A125" s="699"/>
      <c r="B125" s="91" t="s">
        <v>42</v>
      </c>
      <c r="C125" s="92"/>
      <c r="D125" s="93"/>
      <c r="E125" s="94"/>
      <c r="F125" s="94"/>
      <c r="G125" s="95"/>
      <c r="H125" s="94"/>
      <c r="I125" s="96">
        <f>D144*[2]VIC!K$20/(1-[2]VIC!$K$25)</f>
        <v>78113.105013111926</v>
      </c>
      <c r="J125" s="97">
        <f>E144*[2]VIC!L$31*[2]VIC!L$20/(1-[2]VIC!$L$25)</f>
        <v>59553.522690721256</v>
      </c>
      <c r="K125" s="97">
        <f>E144*[2]VIC!M$31*[2]VIC!M$20/(1-[2]VIC!$M$25)</f>
        <v>5278.850931908114</v>
      </c>
      <c r="L125" s="98">
        <f>SUM(I125:K125)</f>
        <v>142945.47863574131</v>
      </c>
      <c r="M125" s="562"/>
      <c r="N125" s="96">
        <f>I125-AU125</f>
        <v>78113.105013111926</v>
      </c>
      <c r="O125" s="97">
        <f>J125-AV125</f>
        <v>59553.522690721256</v>
      </c>
      <c r="P125" s="97">
        <f>K125-AW125</f>
        <v>5278.850931908114</v>
      </c>
      <c r="Q125" s="97">
        <f>SUM(N125:P125)</f>
        <v>142945.47863574131</v>
      </c>
      <c r="R125" s="99">
        <f>Q125/[2]Popn!$H$41*1000</f>
        <v>26.678246325406292</v>
      </c>
      <c r="T125" s="201"/>
      <c r="U125" s="198"/>
      <c r="V125" s="198"/>
      <c r="W125" s="95"/>
      <c r="X125" s="94"/>
      <c r="Y125" s="94"/>
      <c r="Z125" s="94"/>
      <c r="AA125" s="100"/>
      <c r="AB125" s="97"/>
      <c r="AC125" s="97"/>
      <c r="AD125" s="97"/>
      <c r="AE125" s="97"/>
      <c r="AF125" s="568"/>
      <c r="AG125" s="96"/>
      <c r="AH125" s="97"/>
      <c r="AI125" s="97"/>
      <c r="AJ125" s="97"/>
      <c r="AK125" s="102"/>
      <c r="AL125" s="103"/>
      <c r="AM125" s="93"/>
      <c r="AN125" s="94"/>
      <c r="AO125" s="94"/>
      <c r="AP125" s="95"/>
      <c r="AQ125" s="100"/>
      <c r="AR125" s="97"/>
      <c r="AS125" s="128"/>
      <c r="AT125" s="128"/>
      <c r="AU125" s="104"/>
      <c r="AV125" s="97"/>
      <c r="AW125" s="98"/>
      <c r="AX125" s="94"/>
      <c r="AY125" s="96"/>
      <c r="AZ125" s="97"/>
      <c r="BA125" s="97"/>
      <c r="BB125" s="97"/>
      <c r="BC125" s="105"/>
      <c r="BG125" s="147" t="s">
        <v>1</v>
      </c>
      <c r="BH125" s="52">
        <f>Q141/1000</f>
        <v>1539.248889743719</v>
      </c>
      <c r="BI125" s="52">
        <f>AJ141/1000</f>
        <v>1154.3602358490566</v>
      </c>
      <c r="BJ125" s="52">
        <f>BB141/1000</f>
        <v>0</v>
      </c>
      <c r="BK125" s="137">
        <f t="shared" si="39"/>
        <v>0.42855521422211523</v>
      </c>
      <c r="BL125" s="52">
        <f t="shared" si="40"/>
        <v>2693.6091255927759</v>
      </c>
      <c r="BM125" s="6"/>
      <c r="BN125" s="6"/>
      <c r="BO125" s="6"/>
      <c r="BU125" s="6"/>
      <c r="BV125" s="6"/>
      <c r="BW125" s="6"/>
      <c r="BX125" s="6"/>
      <c r="BY125" s="6"/>
      <c r="BZ125" s="6"/>
      <c r="CA125" s="6"/>
      <c r="CB125" s="6"/>
    </row>
    <row r="126" spans="1:80">
      <c r="A126" s="699"/>
      <c r="B126" s="23"/>
      <c r="C126" s="17" t="s">
        <v>33</v>
      </c>
      <c r="D126" s="57"/>
      <c r="E126" s="2"/>
      <c r="F126" s="2"/>
      <c r="G126" s="63"/>
      <c r="H126" s="2"/>
      <c r="I126" s="20"/>
      <c r="J126" s="21"/>
      <c r="K126" s="21"/>
      <c r="L126" s="22"/>
      <c r="M126" s="212"/>
      <c r="N126" s="23"/>
      <c r="O126" s="19"/>
      <c r="P126" s="19"/>
      <c r="Q126" s="19"/>
      <c r="R126" s="33"/>
      <c r="T126" s="201"/>
      <c r="U126" s="198"/>
      <c r="V126" s="198"/>
      <c r="W126" s="63"/>
      <c r="X126" s="2"/>
      <c r="Y126" s="2"/>
      <c r="Z126" s="2"/>
      <c r="AA126" s="68"/>
      <c r="AB126" s="21"/>
      <c r="AC126" s="21"/>
      <c r="AD126" s="21"/>
      <c r="AE126" s="21"/>
      <c r="AF126" s="355"/>
      <c r="AG126" s="20"/>
      <c r="AH126" s="21"/>
      <c r="AI126" s="21"/>
      <c r="AJ126" s="21"/>
      <c r="AK126" s="29"/>
      <c r="AL126" s="19"/>
      <c r="AM126" s="57"/>
      <c r="AN126" s="2"/>
      <c r="AO126" s="2"/>
      <c r="AP126" s="63"/>
      <c r="AQ126" s="68"/>
      <c r="AR126" s="21"/>
      <c r="AS126" s="21"/>
      <c r="AT126" s="21"/>
      <c r="AU126" s="25"/>
      <c r="AV126" s="21"/>
      <c r="AW126" s="22"/>
      <c r="AX126" s="2"/>
      <c r="AY126" s="23"/>
      <c r="AZ126" s="19"/>
      <c r="BA126" s="19"/>
      <c r="BB126" s="19"/>
      <c r="BC126" s="24"/>
      <c r="BG126" s="142"/>
      <c r="BU126" s="90"/>
      <c r="BV126" s="90"/>
      <c r="BW126" s="90"/>
      <c r="BX126" s="90"/>
      <c r="BY126" s="90"/>
      <c r="BZ126" s="90"/>
      <c r="CA126" s="90"/>
      <c r="CB126" s="90"/>
    </row>
    <row r="127" spans="1:80">
      <c r="A127" s="699"/>
      <c r="B127" s="23"/>
      <c r="C127" s="17" t="s">
        <v>34</v>
      </c>
      <c r="D127" s="57"/>
      <c r="E127" s="2"/>
      <c r="F127" s="2"/>
      <c r="G127" s="63"/>
      <c r="H127" s="2"/>
      <c r="I127" s="20"/>
      <c r="J127" s="21"/>
      <c r="K127" s="21"/>
      <c r="L127" s="22"/>
      <c r="M127" s="212"/>
      <c r="N127" s="23"/>
      <c r="O127" s="19"/>
      <c r="P127" s="19"/>
      <c r="Q127" s="19"/>
      <c r="R127" s="33"/>
      <c r="T127" s="201"/>
      <c r="U127" s="198"/>
      <c r="V127" s="198"/>
      <c r="W127" s="63"/>
      <c r="X127" s="2"/>
      <c r="Y127" s="2"/>
      <c r="Z127" s="2"/>
      <c r="AA127" s="68"/>
      <c r="AB127" s="21"/>
      <c r="AC127" s="21"/>
      <c r="AD127" s="21"/>
      <c r="AE127" s="21"/>
      <c r="AF127" s="355"/>
      <c r="AG127" s="20"/>
      <c r="AH127" s="21"/>
      <c r="AI127" s="21"/>
      <c r="AJ127" s="21"/>
      <c r="AK127" s="29"/>
      <c r="AL127" s="19"/>
      <c r="AM127" s="57"/>
      <c r="AN127" s="2"/>
      <c r="AO127" s="2"/>
      <c r="AP127" s="63"/>
      <c r="AQ127" s="68"/>
      <c r="AR127" s="21"/>
      <c r="AS127" s="21"/>
      <c r="AT127" s="21"/>
      <c r="AU127" s="25"/>
      <c r="AV127" s="21"/>
      <c r="AW127" s="22"/>
      <c r="AX127" s="2"/>
      <c r="AY127" s="23"/>
      <c r="AZ127" s="19"/>
      <c r="BA127" s="19"/>
      <c r="BB127" s="19"/>
      <c r="BC127" s="24"/>
    </row>
    <row r="128" spans="1:80">
      <c r="A128" s="699"/>
      <c r="B128" s="23"/>
      <c r="C128" s="17" t="s">
        <v>35</v>
      </c>
      <c r="D128" s="57"/>
      <c r="E128" s="2"/>
      <c r="F128" s="2"/>
      <c r="G128" s="63"/>
      <c r="H128" s="2"/>
      <c r="I128" s="20"/>
      <c r="J128" s="21"/>
      <c r="K128" s="21"/>
      <c r="L128" s="22"/>
      <c r="M128" s="212"/>
      <c r="N128" s="23"/>
      <c r="O128" s="19"/>
      <c r="P128" s="19"/>
      <c r="Q128" s="19"/>
      <c r="R128" s="33"/>
      <c r="T128" s="201"/>
      <c r="U128" s="198"/>
      <c r="V128" s="198"/>
      <c r="W128" s="63"/>
      <c r="X128" s="2"/>
      <c r="Y128" s="2"/>
      <c r="Z128" s="2"/>
      <c r="AA128" s="68"/>
      <c r="AB128" s="21"/>
      <c r="AC128" s="21"/>
      <c r="AD128" s="21"/>
      <c r="AE128" s="21"/>
      <c r="AF128" s="355"/>
      <c r="AG128" s="20"/>
      <c r="AH128" s="21"/>
      <c r="AI128" s="21"/>
      <c r="AJ128" s="21"/>
      <c r="AK128" s="29"/>
      <c r="AL128" s="19"/>
      <c r="AM128" s="57"/>
      <c r="AN128" s="2"/>
      <c r="AO128" s="2"/>
      <c r="AP128" s="63"/>
      <c r="AQ128" s="68"/>
      <c r="AR128" s="21"/>
      <c r="AS128" s="21"/>
      <c r="AT128" s="21"/>
      <c r="AU128" s="25"/>
      <c r="AV128" s="21"/>
      <c r="AW128" s="22"/>
      <c r="AX128" s="2"/>
      <c r="AY128" s="23"/>
      <c r="AZ128" s="19"/>
      <c r="BA128" s="19"/>
      <c r="BB128" s="19"/>
      <c r="BC128" s="24"/>
    </row>
    <row r="129" spans="1:80">
      <c r="A129" s="699"/>
      <c r="B129" s="23"/>
      <c r="C129" s="17" t="s">
        <v>36</v>
      </c>
      <c r="D129" s="57"/>
      <c r="E129" s="2"/>
      <c r="F129" s="2"/>
      <c r="G129" s="63"/>
      <c r="H129" s="2"/>
      <c r="I129" s="20"/>
      <c r="J129" s="21"/>
      <c r="K129" s="21"/>
      <c r="L129" s="22"/>
      <c r="M129" s="212"/>
      <c r="N129" s="23"/>
      <c r="O129" s="19"/>
      <c r="P129" s="19"/>
      <c r="Q129" s="19"/>
      <c r="R129" s="33"/>
      <c r="T129" s="201"/>
      <c r="U129" s="198"/>
      <c r="V129" s="198"/>
      <c r="W129" s="63"/>
      <c r="X129" s="2"/>
      <c r="Y129" s="2"/>
      <c r="Z129" s="2"/>
      <c r="AA129" s="68"/>
      <c r="AB129" s="21"/>
      <c r="AC129" s="21"/>
      <c r="AD129" s="21"/>
      <c r="AE129" s="21"/>
      <c r="AF129" s="355"/>
      <c r="AG129" s="20"/>
      <c r="AH129" s="21"/>
      <c r="AI129" s="21"/>
      <c r="AJ129" s="21"/>
      <c r="AK129" s="29"/>
      <c r="AL129" s="19"/>
      <c r="AM129" s="57"/>
      <c r="AN129" s="2"/>
      <c r="AO129" s="2"/>
      <c r="AP129" s="63"/>
      <c r="AQ129" s="68"/>
      <c r="AR129" s="21"/>
      <c r="AS129" s="21"/>
      <c r="AT129" s="21"/>
      <c r="AU129" s="25"/>
      <c r="AV129" s="21"/>
      <c r="AW129" s="22"/>
      <c r="AX129" s="2"/>
      <c r="AY129" s="23"/>
      <c r="AZ129" s="19"/>
      <c r="BA129" s="19"/>
      <c r="BB129" s="19"/>
      <c r="BC129" s="24"/>
    </row>
    <row r="130" spans="1:80" s="90" customFormat="1">
      <c r="A130" s="699"/>
      <c r="B130" s="91" t="s">
        <v>43</v>
      </c>
      <c r="C130" s="92"/>
      <c r="D130" s="93"/>
      <c r="E130" s="94"/>
      <c r="F130" s="94"/>
      <c r="G130" s="95"/>
      <c r="H130" s="94"/>
      <c r="I130" s="96">
        <f>D144*[2]VIC!K$21/(1-[2]VIC!$K$25)</f>
        <v>111727.55009110238</v>
      </c>
      <c r="J130" s="97">
        <f>E144*[2]VIC!L$31*[2]VIC!L$21/(1-[2]VIC!$L$25)</f>
        <v>122005.66816727407</v>
      </c>
      <c r="K130" s="97">
        <f>E144*[2]VIC!M$31*[2]VIC!M$21/(1-[2]VIC!$M$25)</f>
        <v>3589.6186336975179</v>
      </c>
      <c r="L130" s="98">
        <f>SUM(I130:K130)</f>
        <v>237322.83689207397</v>
      </c>
      <c r="M130" s="562"/>
      <c r="N130" s="96">
        <f>I130-AU130</f>
        <v>111727.55009110238</v>
      </c>
      <c r="O130" s="97">
        <f>J130-AV130</f>
        <v>122005.66816727407</v>
      </c>
      <c r="P130" s="97">
        <f>K130-AW130</f>
        <v>3589.6186336975179</v>
      </c>
      <c r="Q130" s="97">
        <f>SUM(N130:P130)</f>
        <v>237322.83689207397</v>
      </c>
      <c r="R130" s="99">
        <f>Q130/[2]Popn!$H$41*1000</f>
        <v>44.29211166157102</v>
      </c>
      <c r="T130" s="201"/>
      <c r="U130" s="198"/>
      <c r="V130" s="198"/>
      <c r="W130" s="95"/>
      <c r="X130" s="94"/>
      <c r="Y130" s="94"/>
      <c r="Z130" s="94"/>
      <c r="AA130" s="100"/>
      <c r="AB130" s="97"/>
      <c r="AC130" s="97"/>
      <c r="AD130" s="97"/>
      <c r="AE130" s="97"/>
      <c r="AF130" s="568"/>
      <c r="AG130" s="96"/>
      <c r="AH130" s="97"/>
      <c r="AI130" s="97"/>
      <c r="AJ130" s="97"/>
      <c r="AK130" s="102"/>
      <c r="AL130" s="103"/>
      <c r="AM130" s="93"/>
      <c r="AN130" s="94"/>
      <c r="AO130" s="94"/>
      <c r="AP130" s="95"/>
      <c r="AQ130" s="100"/>
      <c r="AR130" s="97"/>
      <c r="AS130" s="97"/>
      <c r="AT130" s="97"/>
      <c r="AU130" s="104"/>
      <c r="AV130" s="97"/>
      <c r="AW130" s="98"/>
      <c r="AX130" s="94"/>
      <c r="AY130" s="96"/>
      <c r="AZ130" s="97"/>
      <c r="BA130" s="97"/>
      <c r="BB130" s="97"/>
      <c r="BC130" s="105"/>
      <c r="BG130" s="143"/>
      <c r="BU130" s="6"/>
      <c r="BV130" s="6"/>
      <c r="BW130" s="6"/>
      <c r="BX130" s="6"/>
      <c r="BY130" s="6"/>
      <c r="BZ130" s="6"/>
      <c r="CA130" s="6"/>
      <c r="CB130" s="6"/>
    </row>
    <row r="131" spans="1:80" s="106" customFormat="1">
      <c r="A131" s="699"/>
      <c r="B131" s="107" t="s">
        <v>67</v>
      </c>
      <c r="C131" s="108"/>
      <c r="D131" s="109"/>
      <c r="E131" s="110"/>
      <c r="F131" s="110"/>
      <c r="G131" s="111"/>
      <c r="H131" s="110"/>
      <c r="I131" s="112"/>
      <c r="J131" s="113"/>
      <c r="K131" s="113"/>
      <c r="L131" s="114"/>
      <c r="M131" s="562"/>
      <c r="N131" s="112">
        <f>N125+N130</f>
        <v>189840.65510421433</v>
      </c>
      <c r="O131" s="113">
        <f>O125+O130</f>
        <v>181559.19085799533</v>
      </c>
      <c r="P131" s="113">
        <f>P125+P130</f>
        <v>8868.4695656056319</v>
      </c>
      <c r="Q131" s="113">
        <f>Q125+Q130</f>
        <v>380268.31552781526</v>
      </c>
      <c r="R131" s="115">
        <f>R125+R130</f>
        <v>70.970357986977319</v>
      </c>
      <c r="T131" s="201"/>
      <c r="U131" s="198"/>
      <c r="V131" s="198"/>
      <c r="W131" s="111"/>
      <c r="X131" s="130">
        <f>[2]PACIA!$H$47*[2]PACIA!I47</f>
        <v>52021.021666666667</v>
      </c>
      <c r="Y131" s="130">
        <f>[2]PACIA!$H$47*[2]PACIA!J47</f>
        <v>91368.366666666669</v>
      </c>
      <c r="Z131" s="130">
        <f>[2]PACIA!$H$47*[2]PACIA!K47</f>
        <v>3978.9450000000002</v>
      </c>
      <c r="AA131" s="116"/>
      <c r="AB131" s="113"/>
      <c r="AC131" s="113"/>
      <c r="AD131" s="113"/>
      <c r="AE131" s="113"/>
      <c r="AF131" s="355" t="s">
        <v>197</v>
      </c>
      <c r="AG131" s="112">
        <f>X131</f>
        <v>52021.021666666667</v>
      </c>
      <c r="AH131" s="113">
        <f>Y131</f>
        <v>91368.366666666669</v>
      </c>
      <c r="AI131" s="113">
        <f>Z131</f>
        <v>3978.9450000000002</v>
      </c>
      <c r="AJ131" s="114">
        <f>SUM(AG131:AI131)</f>
        <v>147368.33333333334</v>
      </c>
      <c r="AK131" s="118">
        <f>AJ131/[2]Popn!$H$42*1000</f>
        <v>27.063540645759936</v>
      </c>
      <c r="AL131" s="119"/>
      <c r="AM131" s="109"/>
      <c r="AN131" s="110"/>
      <c r="AO131" s="110"/>
      <c r="AP131" s="111"/>
      <c r="AQ131" s="116"/>
      <c r="AR131" s="113"/>
      <c r="AS131" s="113"/>
      <c r="AT131" s="113"/>
      <c r="AU131" s="120"/>
      <c r="AV131" s="113"/>
      <c r="AW131" s="114"/>
      <c r="AX131" s="110"/>
      <c r="AY131" s="112">
        <f>AY125+AY130</f>
        <v>0</v>
      </c>
      <c r="AZ131" s="113">
        <f>AZ125+AZ130</f>
        <v>0</v>
      </c>
      <c r="BA131" s="113">
        <f>BA125+BA130</f>
        <v>0</v>
      </c>
      <c r="BB131" s="113">
        <f>BB125+BB130</f>
        <v>0</v>
      </c>
      <c r="BC131" s="115">
        <f>BC125+BC130</f>
        <v>0</v>
      </c>
      <c r="BG131" s="144"/>
      <c r="BU131" s="90"/>
      <c r="BV131" s="90"/>
      <c r="BW131" s="90"/>
      <c r="BX131" s="90"/>
      <c r="BY131" s="90"/>
      <c r="BZ131" s="90"/>
      <c r="CA131" s="90"/>
      <c r="CB131" s="90"/>
    </row>
    <row r="132" spans="1:80" s="106" customFormat="1">
      <c r="A132" s="699"/>
      <c r="B132" s="37" t="s">
        <v>8</v>
      </c>
      <c r="C132" s="129" t="s">
        <v>8</v>
      </c>
      <c r="D132" s="109"/>
      <c r="E132" s="110"/>
      <c r="F132" s="110"/>
      <c r="G132" s="111"/>
      <c r="H132" s="110"/>
      <c r="I132" s="112">
        <f>D144*[2]VIC!K$19/(1-[2]VIC!$K$25)</f>
        <v>57444.386629490815</v>
      </c>
      <c r="J132" s="113">
        <f>E144*[2]VIC!L$31*[2]VIC!L$19/(1-[2]VIC!$L$25)</f>
        <v>26878.138559529063</v>
      </c>
      <c r="K132" s="113">
        <f>E144*[2]VIC!M$31*[2]VIC!M$19/(1-[2]VIC!$M$25)</f>
        <v>1689.2322982105966</v>
      </c>
      <c r="L132" s="114">
        <f>SUM(I132:K132)</f>
        <v>86011.757487230483</v>
      </c>
      <c r="M132" s="562"/>
      <c r="N132" s="112">
        <f>I132-AU132</f>
        <v>57444.386629490815</v>
      </c>
      <c r="O132" s="113">
        <f>J132-AV132</f>
        <v>26878.138559529063</v>
      </c>
      <c r="P132" s="113">
        <f>K132-AW132</f>
        <v>1689.2322982105966</v>
      </c>
      <c r="Q132" s="113">
        <f>SUM(N132:P132)</f>
        <v>86011.757487230483</v>
      </c>
      <c r="R132" s="115">
        <f>Q132/[2]Popn!$H$41*1000</f>
        <v>16.052573855607797</v>
      </c>
      <c r="T132" s="202">
        <f>SUMIF([2]VIC!$D$113:$D$145,$C132,[2]VIC!K$113:K$145)</f>
        <v>134476</v>
      </c>
      <c r="U132" s="130">
        <f>SUMIF([2]VIC!$D$113:$D$145,$C132,[2]VIC!L$113:L$145)</f>
        <v>24557</v>
      </c>
      <c r="V132" s="130">
        <f>SUMIF([2]VIC!$D$113:$D$145,$C132,[2]VIC!M$113:M$145)</f>
        <v>0</v>
      </c>
      <c r="W132" s="111"/>
      <c r="X132" s="110"/>
      <c r="Y132" s="110"/>
      <c r="Z132" s="110"/>
      <c r="AA132" s="116"/>
      <c r="AB132" s="113"/>
      <c r="AC132" s="113"/>
      <c r="AD132" s="113"/>
      <c r="AE132" s="113"/>
      <c r="AF132" s="567"/>
      <c r="AG132" s="112">
        <f t="shared" ref="AG132:AI134" si="41">T132</f>
        <v>134476</v>
      </c>
      <c r="AH132" s="113">
        <f t="shared" si="41"/>
        <v>24557</v>
      </c>
      <c r="AI132" s="113">
        <f t="shared" si="41"/>
        <v>0</v>
      </c>
      <c r="AJ132" s="113">
        <f>SUM(AG132:AI132)</f>
        <v>159033</v>
      </c>
      <c r="AK132" s="118">
        <f>AJ132/[2]Popn!$H$41*1000</f>
        <v>29.680697762255154</v>
      </c>
      <c r="AL132" s="119"/>
      <c r="AM132" s="109"/>
      <c r="AN132" s="110"/>
      <c r="AO132" s="110"/>
      <c r="AP132" s="111"/>
      <c r="AQ132" s="116"/>
      <c r="AR132" s="113"/>
      <c r="AS132" s="113"/>
      <c r="AT132" s="113"/>
      <c r="AU132" s="120"/>
      <c r="AV132" s="113"/>
      <c r="AW132" s="114"/>
      <c r="AX132" s="110"/>
      <c r="AY132" s="112"/>
      <c r="AZ132" s="113"/>
      <c r="BA132" s="113"/>
      <c r="BB132" s="113"/>
      <c r="BC132" s="121"/>
      <c r="BG132" s="144"/>
    </row>
    <row r="133" spans="1:80">
      <c r="A133" s="699"/>
      <c r="B133" s="23" t="s">
        <v>7</v>
      </c>
      <c r="C133" s="17" t="s">
        <v>9</v>
      </c>
      <c r="D133" s="57"/>
      <c r="E133" s="2"/>
      <c r="F133" s="2"/>
      <c r="G133" s="63"/>
      <c r="H133" s="2"/>
      <c r="I133" s="20">
        <f>D144*[2]VIC!K$17/(1-[2]VIC!$K$25)</f>
        <v>60919.214106347521</v>
      </c>
      <c r="J133" s="21">
        <f>E144*[2]VIC!L$31*[2]VIC!L$17/(1-[2]VIC!$L$25)</f>
        <v>99080.197042969885</v>
      </c>
      <c r="K133" s="21">
        <f>E144*[2]VIC!M$31*[2]VIC!M$17/(1-[2]VIC!$M$25)</f>
        <v>9079.6236028819585</v>
      </c>
      <c r="L133" s="22">
        <f>SUM(I133:K133)</f>
        <v>169079.03475219937</v>
      </c>
      <c r="M133" s="212" t="s">
        <v>54</v>
      </c>
      <c r="N133" s="20"/>
      <c r="O133" s="21"/>
      <c r="P133" s="21"/>
      <c r="Q133" s="21"/>
      <c r="R133" s="34"/>
      <c r="T133" s="201">
        <f>SUMIF([2]VIC!$D$113:$D$145,$C133,[2]VIC!K$113:K$145)</f>
        <v>3349</v>
      </c>
      <c r="U133" s="198">
        <f>SUMIF([2]VIC!$D$113:$D$145,$C133,[2]VIC!L$113:L$145)</f>
        <v>31778.799999999999</v>
      </c>
      <c r="V133" s="198">
        <f>SUMIF([2]VIC!$D$113:$D$145,$C133,[2]VIC!M$113:M$145)</f>
        <v>137</v>
      </c>
      <c r="W133" s="63"/>
      <c r="X133" s="2"/>
      <c r="Y133" s="2"/>
      <c r="Z133" s="2"/>
      <c r="AA133" s="68"/>
      <c r="AB133" s="21"/>
      <c r="AC133" s="21"/>
      <c r="AD133" s="21"/>
      <c r="AE133" s="21"/>
      <c r="AF133" s="355"/>
      <c r="AG133" s="20">
        <f t="shared" si="41"/>
        <v>3349</v>
      </c>
      <c r="AH133" s="21">
        <f t="shared" si="41"/>
        <v>31778.799999999999</v>
      </c>
      <c r="AI133" s="21">
        <f t="shared" si="41"/>
        <v>137</v>
      </c>
      <c r="AJ133" s="21">
        <f>SUM(AG133:AI133)</f>
        <v>35264.800000000003</v>
      </c>
      <c r="AK133" s="29">
        <f>AJ133/[2]Popn!$H$41*1000</f>
        <v>6.581551441816325</v>
      </c>
      <c r="AL133" s="19"/>
      <c r="AM133" s="57"/>
      <c r="AN133" s="2"/>
      <c r="AO133" s="2"/>
      <c r="AP133" s="63"/>
      <c r="AQ133" s="68"/>
      <c r="AR133" s="21"/>
      <c r="AS133" s="35"/>
      <c r="AT133" s="21"/>
      <c r="AU133" s="25"/>
      <c r="AV133" s="21"/>
      <c r="AW133" s="22"/>
      <c r="AX133" s="2"/>
      <c r="AY133" s="20"/>
      <c r="AZ133" s="21"/>
      <c r="BA133" s="21"/>
      <c r="BB133" s="21"/>
      <c r="BC133" s="29"/>
      <c r="BU133" s="106"/>
      <c r="BV133" s="106"/>
      <c r="BW133" s="106"/>
      <c r="BX133" s="106"/>
      <c r="BY133" s="106"/>
      <c r="BZ133" s="106"/>
      <c r="CA133" s="106"/>
      <c r="CB133" s="106"/>
    </row>
    <row r="134" spans="1:80">
      <c r="A134" s="699"/>
      <c r="B134" s="23"/>
      <c r="C134" s="17" t="s">
        <v>10</v>
      </c>
      <c r="D134" s="57"/>
      <c r="E134" s="2"/>
      <c r="F134" s="2"/>
      <c r="G134" s="63"/>
      <c r="H134" s="2"/>
      <c r="I134" s="20"/>
      <c r="J134" s="21"/>
      <c r="K134" s="21"/>
      <c r="L134" s="22"/>
      <c r="M134" s="212"/>
      <c r="N134" s="23"/>
      <c r="O134" s="19"/>
      <c r="P134" s="19"/>
      <c r="Q134" s="19"/>
      <c r="R134" s="33"/>
      <c r="T134" s="201">
        <f>SUMIF([2]VIC!$D$113:$D$145,$C134,[2]VIC!K$113:K$145)</f>
        <v>158437.25</v>
      </c>
      <c r="U134" s="198">
        <f>SUMIF([2]VIC!$D$113:$D$145,$C134,[2]VIC!L$113:L$145)-AN134</f>
        <v>27566.25</v>
      </c>
      <c r="V134" s="198">
        <f>SUMIF([2]VIC!$D$113:$D$145,$C134,[2]VIC!M$113:M$145)</f>
        <v>0</v>
      </c>
      <c r="W134" s="63"/>
      <c r="X134" s="2"/>
      <c r="Y134" s="2"/>
      <c r="Z134" s="2"/>
      <c r="AA134" s="68"/>
      <c r="AB134" s="21"/>
      <c r="AC134" s="21"/>
      <c r="AD134" s="21"/>
      <c r="AE134" s="21"/>
      <c r="AF134" s="355"/>
      <c r="AG134" s="20">
        <f t="shared" si="41"/>
        <v>158437.25</v>
      </c>
      <c r="AH134" s="21">
        <f t="shared" si="41"/>
        <v>27566.25</v>
      </c>
      <c r="AI134" s="21">
        <f t="shared" si="41"/>
        <v>0</v>
      </c>
      <c r="AJ134" s="21">
        <f>SUM(AG134:AI134)</f>
        <v>186003.5</v>
      </c>
      <c r="AK134" s="29">
        <f>AJ134/[2]Popn!$H$41*1000</f>
        <v>34.714264751476904</v>
      </c>
      <c r="AL134" s="19"/>
      <c r="AM134" s="57"/>
      <c r="AN134" s="198">
        <f>[2]VIC!$B$310</f>
        <v>2642</v>
      </c>
      <c r="AO134" s="2"/>
      <c r="AP134" s="199">
        <f>SUM(AM134:AO134)</f>
        <v>2642</v>
      </c>
      <c r="AQ134" s="68"/>
      <c r="AR134" s="21"/>
      <c r="AS134" s="35"/>
      <c r="AT134" s="21"/>
      <c r="AU134" s="25"/>
      <c r="AV134" s="21"/>
      <c r="AW134" s="22"/>
      <c r="AX134" s="2"/>
      <c r="AY134" s="23"/>
      <c r="AZ134" s="21">
        <f>AN134</f>
        <v>2642</v>
      </c>
      <c r="BA134" s="19"/>
      <c r="BB134" s="21">
        <f>SUM(AY134:BA134)</f>
        <v>2642</v>
      </c>
      <c r="BC134" s="29"/>
    </row>
    <row r="135" spans="1:80" s="106" customFormat="1">
      <c r="A135" s="699"/>
      <c r="B135" s="107" t="s">
        <v>67</v>
      </c>
      <c r="C135" s="108"/>
      <c r="D135" s="109"/>
      <c r="E135" s="110"/>
      <c r="F135" s="110"/>
      <c r="G135" s="111"/>
      <c r="H135" s="110"/>
      <c r="I135" s="112">
        <f>SUM(I133:I134)</f>
        <v>60919.214106347521</v>
      </c>
      <c r="J135" s="113">
        <f>SUM(J133:J134)</f>
        <v>99080.197042969885</v>
      </c>
      <c r="K135" s="113">
        <f>SUM(K133:K134)</f>
        <v>9079.6236028819585</v>
      </c>
      <c r="L135" s="114">
        <f>SUM(L133:L134)</f>
        <v>169079.03475219937</v>
      </c>
      <c r="M135" s="562"/>
      <c r="N135" s="112">
        <f>I135-AU135</f>
        <v>54019.819419131236</v>
      </c>
      <c r="O135" s="113">
        <f>J135-AV135</f>
        <v>95037.156543664474</v>
      </c>
      <c r="P135" s="113">
        <f>K135-AW135</f>
        <v>8862.5104285685265</v>
      </c>
      <c r="Q135" s="114">
        <f>SUM(N135:P135)</f>
        <v>157919.48639136425</v>
      </c>
      <c r="R135" s="115">
        <f>Q135/[2]Popn!$H$41*1000</f>
        <v>29.472880134013998</v>
      </c>
      <c r="T135" s="109"/>
      <c r="U135" s="110"/>
      <c r="V135" s="110"/>
      <c r="W135" s="111"/>
      <c r="X135" s="110"/>
      <c r="Y135" s="110"/>
      <c r="Z135" s="110"/>
      <c r="AA135" s="116"/>
      <c r="AB135" s="113"/>
      <c r="AC135" s="113"/>
      <c r="AD135" s="113"/>
      <c r="AE135" s="113"/>
      <c r="AF135" s="567"/>
      <c r="AG135" s="112">
        <f>SUM(AG133:AG134)</f>
        <v>161786.25</v>
      </c>
      <c r="AH135" s="113">
        <f>SUM(AH133:AH134)</f>
        <v>59345.05</v>
      </c>
      <c r="AI135" s="113">
        <f>SUM(AI133:AI134)</f>
        <v>137</v>
      </c>
      <c r="AJ135" s="113">
        <f>SUM(AJ133:AJ134)</f>
        <v>221268.3</v>
      </c>
      <c r="AK135" s="118">
        <f>SUM(AK133:AK134)</f>
        <v>41.295816193293227</v>
      </c>
      <c r="AL135" s="119"/>
      <c r="AM135" s="109"/>
      <c r="AN135" s="110"/>
      <c r="AO135" s="110"/>
      <c r="AP135" s="111"/>
      <c r="AQ135" s="116"/>
      <c r="AR135" s="113">
        <f>L135*'[2]Lfill en &amp; composn'!$D$25</f>
        <v>26629.9479734714</v>
      </c>
      <c r="AS135" s="123">
        <f>AR135/SUM($AR$101:$AR$143)</f>
        <v>7.9394404674002508E-2</v>
      </c>
      <c r="AT135" s="113">
        <f>AS135*'[2]Lfill en &amp; composn'!$H$64/'[2]Lfill en &amp; composn'!$B$25</f>
        <v>19149.015810554145</v>
      </c>
      <c r="AU135" s="120">
        <f>AT135*I135/$L135</f>
        <v>6899.3946872162842</v>
      </c>
      <c r="AV135" s="113">
        <f>AU135*J135/$L135</f>
        <v>4043.0404993054108</v>
      </c>
      <c r="AW135" s="114">
        <f>AV135*K135/$L135</f>
        <v>217.11317431343187</v>
      </c>
      <c r="AX135" s="110"/>
      <c r="AY135" s="112">
        <f>AU135</f>
        <v>6899.3946872162842</v>
      </c>
      <c r="AZ135" s="113">
        <f>AV135+AZ134</f>
        <v>6685.0404993054108</v>
      </c>
      <c r="BA135" s="113">
        <f>AW135</f>
        <v>217.11317431343187</v>
      </c>
      <c r="BB135" s="113">
        <f>SUM(AY135:BA135)</f>
        <v>13801.548360835128</v>
      </c>
      <c r="BC135" s="118">
        <f>BB135/[2]Popn!$H$41*1000</f>
        <v>2.5758149915369479</v>
      </c>
      <c r="BD135" s="122"/>
      <c r="BG135" s="144"/>
      <c r="BU135" s="6"/>
      <c r="BV135" s="6"/>
      <c r="BW135" s="6"/>
      <c r="BX135" s="6"/>
      <c r="BY135" s="6"/>
      <c r="BZ135" s="6"/>
      <c r="CA135" s="6"/>
      <c r="CB135" s="6"/>
    </row>
    <row r="136" spans="1:80">
      <c r="A136" s="699"/>
      <c r="B136" s="23" t="s">
        <v>11</v>
      </c>
      <c r="C136" s="17" t="s">
        <v>12</v>
      </c>
      <c r="D136" s="57"/>
      <c r="E136" s="2"/>
      <c r="F136" s="2"/>
      <c r="G136" s="63"/>
      <c r="H136" s="2"/>
      <c r="I136" s="20"/>
      <c r="J136" s="21"/>
      <c r="K136" s="21"/>
      <c r="L136" s="22"/>
      <c r="M136" s="212"/>
      <c r="N136" s="23"/>
      <c r="O136" s="19"/>
      <c r="P136" s="19"/>
      <c r="Q136" s="19"/>
      <c r="R136" s="33"/>
      <c r="T136" s="57"/>
      <c r="U136" s="2"/>
      <c r="V136" s="2"/>
      <c r="W136" s="63"/>
      <c r="X136" s="2"/>
      <c r="Y136" s="2"/>
      <c r="Z136" s="2"/>
      <c r="AA136" s="68"/>
      <c r="AB136" s="21"/>
      <c r="AC136" s="21"/>
      <c r="AD136" s="21"/>
      <c r="AE136" s="21"/>
      <c r="AF136" s="355"/>
      <c r="AG136" s="20"/>
      <c r="AH136" s="21"/>
      <c r="AI136" s="21"/>
      <c r="AJ136" s="21"/>
      <c r="AK136" s="29"/>
      <c r="AL136" s="19"/>
      <c r="AM136" s="57"/>
      <c r="AN136" s="2"/>
      <c r="AO136" s="2"/>
      <c r="AP136" s="63"/>
      <c r="AQ136" s="68"/>
      <c r="AR136" s="21"/>
      <c r="AS136" s="21"/>
      <c r="AT136" s="21"/>
      <c r="AU136" s="25"/>
      <c r="AV136" s="21"/>
      <c r="AW136" s="22"/>
      <c r="AX136" s="2"/>
      <c r="AY136" s="23"/>
      <c r="AZ136" s="19"/>
      <c r="BA136" s="19"/>
      <c r="BB136" s="19"/>
      <c r="BC136" s="24"/>
      <c r="BU136" s="106"/>
      <c r="BV136" s="106"/>
      <c r="BW136" s="106"/>
      <c r="BX136" s="106"/>
      <c r="BY136" s="106"/>
      <c r="BZ136" s="106"/>
      <c r="CA136" s="106"/>
      <c r="CB136" s="106"/>
    </row>
    <row r="137" spans="1:80">
      <c r="A137" s="699"/>
      <c r="B137" s="23"/>
      <c r="C137" s="17" t="s">
        <v>13</v>
      </c>
      <c r="D137" s="57"/>
      <c r="E137" s="2"/>
      <c r="F137" s="2"/>
      <c r="G137" s="156">
        <f>'[2]Haz-Vic'!$E$31+'[2]Haz-Vic'!$E$34</f>
        <v>260610</v>
      </c>
      <c r="H137" s="3"/>
      <c r="I137" s="20"/>
      <c r="J137" s="21"/>
      <c r="K137" s="21">
        <f>G137</f>
        <v>260610</v>
      </c>
      <c r="L137" s="22">
        <f>G137</f>
        <v>260610</v>
      </c>
      <c r="M137" s="212" t="s">
        <v>84</v>
      </c>
      <c r="N137" s="20"/>
      <c r="O137" s="21"/>
      <c r="P137" s="21">
        <f>K137</f>
        <v>260610</v>
      </c>
      <c r="Q137" s="21">
        <f>SUM(N137:P137)</f>
        <v>260610</v>
      </c>
      <c r="R137" s="34">
        <f>Q137/[2]Popn!$H$41*1000</f>
        <v>48.638248940919908</v>
      </c>
      <c r="T137" s="57"/>
      <c r="U137" s="2"/>
      <c r="V137" s="2"/>
      <c r="W137" s="64"/>
      <c r="X137" s="3"/>
      <c r="Y137" s="3"/>
      <c r="Z137" s="3"/>
      <c r="AA137" s="69"/>
      <c r="AB137" s="21"/>
      <c r="AC137" s="21"/>
      <c r="AD137" s="21"/>
      <c r="AE137" s="21"/>
      <c r="AF137" s="355"/>
      <c r="AG137" s="20"/>
      <c r="AH137" s="21"/>
      <c r="AI137" s="21"/>
      <c r="AJ137" s="21"/>
      <c r="AK137" s="29"/>
      <c r="AL137" s="19"/>
      <c r="AM137" s="57"/>
      <c r="AN137" s="2"/>
      <c r="AO137" s="2"/>
      <c r="AP137" s="64"/>
      <c r="AQ137" s="69"/>
      <c r="AR137" s="21"/>
      <c r="AS137" s="21"/>
      <c r="AT137" s="21"/>
      <c r="AU137" s="25"/>
      <c r="AV137" s="21"/>
      <c r="AW137" s="22"/>
      <c r="AX137" s="2"/>
      <c r="AY137" s="20"/>
      <c r="AZ137" s="21"/>
      <c r="BA137" s="21"/>
      <c r="BB137" s="21"/>
      <c r="BC137" s="24"/>
    </row>
    <row r="138" spans="1:80">
      <c r="A138" s="699"/>
      <c r="B138" s="23"/>
      <c r="C138" s="17" t="s">
        <v>14</v>
      </c>
      <c r="D138" s="57"/>
      <c r="E138" s="2"/>
      <c r="F138" s="2"/>
      <c r="G138" s="156">
        <f>'[2]Haz-Vic'!$E$32+'[2]Haz-Vic'!$E$35</f>
        <v>61510</v>
      </c>
      <c r="H138" s="3"/>
      <c r="I138" s="20"/>
      <c r="J138" s="21">
        <f>G138</f>
        <v>61510</v>
      </c>
      <c r="K138" s="21"/>
      <c r="L138" s="22">
        <f>G138</f>
        <v>61510</v>
      </c>
      <c r="M138" s="212" t="s">
        <v>85</v>
      </c>
      <c r="N138" s="23"/>
      <c r="O138" s="21">
        <f>J138</f>
        <v>61510</v>
      </c>
      <c r="P138" s="19"/>
      <c r="Q138" s="21">
        <f>SUM(N138:P138)</f>
        <v>61510</v>
      </c>
      <c r="R138" s="34">
        <f>Q138/[2]Popn!$H$41*1000</f>
        <v>11.479754009270493</v>
      </c>
      <c r="T138" s="57"/>
      <c r="U138" s="2"/>
      <c r="V138" s="2"/>
      <c r="W138" s="64"/>
      <c r="X138" s="3"/>
      <c r="Y138" s="3"/>
      <c r="Z138" s="3"/>
      <c r="AA138" s="69"/>
      <c r="AB138" s="21"/>
      <c r="AC138" s="21"/>
      <c r="AD138" s="21"/>
      <c r="AE138" s="21"/>
      <c r="AF138" s="355"/>
      <c r="AG138" s="20"/>
      <c r="AH138" s="21"/>
      <c r="AI138" s="21"/>
      <c r="AJ138" s="21"/>
      <c r="AK138" s="29"/>
      <c r="AL138" s="19"/>
      <c r="AM138" s="57"/>
      <c r="AN138" s="2"/>
      <c r="AO138" s="2"/>
      <c r="AP138" s="64"/>
      <c r="AQ138" s="70">
        <f>[2]VIC!$N$354</f>
        <v>12793</v>
      </c>
      <c r="AR138" s="21"/>
      <c r="AS138" s="21"/>
      <c r="AT138" s="21"/>
      <c r="AU138" s="25"/>
      <c r="AV138" s="21"/>
      <c r="AW138" s="22"/>
      <c r="AX138" s="2"/>
      <c r="AY138" s="23"/>
      <c r="AZ138" s="19"/>
      <c r="BA138" s="19"/>
      <c r="BB138" s="21"/>
      <c r="BC138" s="24"/>
    </row>
    <row r="139" spans="1:80">
      <c r="A139" s="699"/>
      <c r="B139" s="23"/>
      <c r="C139" s="17" t="s">
        <v>15</v>
      </c>
      <c r="D139" s="57"/>
      <c r="E139" s="2"/>
      <c r="F139" s="2"/>
      <c r="G139" s="156">
        <f>'[2]Haz-Vic'!$E$33</f>
        <v>31660</v>
      </c>
      <c r="H139" s="3"/>
      <c r="I139" s="20"/>
      <c r="J139" s="21">
        <f>G139</f>
        <v>31660</v>
      </c>
      <c r="K139" s="21"/>
      <c r="L139" s="22">
        <f>G139</f>
        <v>31660</v>
      </c>
      <c r="M139" s="212" t="s">
        <v>85</v>
      </c>
      <c r="N139" s="23"/>
      <c r="O139" s="21">
        <f>J139</f>
        <v>31660</v>
      </c>
      <c r="P139" s="19"/>
      <c r="Q139" s="21">
        <f>SUM(N139:P139)</f>
        <v>31660</v>
      </c>
      <c r="R139" s="34">
        <f>Q139/[2]Popn!$H$41*1000</f>
        <v>5.9087792543245623</v>
      </c>
      <c r="T139" s="57"/>
      <c r="U139" s="2"/>
      <c r="V139" s="2"/>
      <c r="W139" s="64"/>
      <c r="X139" s="3"/>
      <c r="Y139" s="3"/>
      <c r="Z139" s="3"/>
      <c r="AA139" s="69"/>
      <c r="AB139" s="21"/>
      <c r="AC139" s="21"/>
      <c r="AD139" s="21"/>
      <c r="AE139" s="21"/>
      <c r="AF139" s="355"/>
      <c r="AG139" s="20"/>
      <c r="AH139" s="21"/>
      <c r="AI139" s="21"/>
      <c r="AJ139" s="21"/>
      <c r="AK139" s="29"/>
      <c r="AL139" s="19"/>
      <c r="AM139" s="57"/>
      <c r="AN139" s="2"/>
      <c r="AO139" s="2"/>
      <c r="AP139" s="64"/>
      <c r="AQ139" s="69"/>
      <c r="AR139" s="21"/>
      <c r="AS139" s="21"/>
      <c r="AT139" s="21"/>
      <c r="AU139" s="25"/>
      <c r="AV139" s="21"/>
      <c r="AW139" s="22"/>
      <c r="AX139" s="2"/>
      <c r="AY139" s="23"/>
      <c r="AZ139" s="19"/>
      <c r="BA139" s="19"/>
      <c r="BB139" s="21"/>
      <c r="BC139" s="24"/>
    </row>
    <row r="140" spans="1:80" s="106" customFormat="1">
      <c r="A140" s="699"/>
      <c r="B140" s="107" t="s">
        <v>67</v>
      </c>
      <c r="C140" s="108"/>
      <c r="D140" s="109"/>
      <c r="E140" s="110"/>
      <c r="F140" s="110"/>
      <c r="G140" s="124"/>
      <c r="H140" s="125"/>
      <c r="I140" s="112">
        <f>SUM(I137:I139)</f>
        <v>0</v>
      </c>
      <c r="J140" s="113">
        <f>SUM(J137:J139)</f>
        <v>93170</v>
      </c>
      <c r="K140" s="113">
        <f>SUM(K137:K139)</f>
        <v>260610</v>
      </c>
      <c r="L140" s="114">
        <f>SUM(L137:L139)</f>
        <v>353780</v>
      </c>
      <c r="M140" s="562"/>
      <c r="N140" s="112">
        <f>I140</f>
        <v>0</v>
      </c>
      <c r="O140" s="113">
        <f>SUM(O137:O139)</f>
        <v>93170</v>
      </c>
      <c r="P140" s="113">
        <f>SUM(P137:P139)</f>
        <v>260610</v>
      </c>
      <c r="Q140" s="114">
        <f>SUM(Q137:Q139)</f>
        <v>353780</v>
      </c>
      <c r="R140" s="115">
        <f>SUM(R137:R139)</f>
        <v>66.026782204514959</v>
      </c>
      <c r="T140" s="109"/>
      <c r="U140" s="110"/>
      <c r="V140" s="110"/>
      <c r="W140" s="124"/>
      <c r="X140" s="125"/>
      <c r="Y140" s="125"/>
      <c r="Z140" s="125"/>
      <c r="AA140" s="126"/>
      <c r="AB140" s="113"/>
      <c r="AC140" s="113"/>
      <c r="AD140" s="113"/>
      <c r="AE140" s="113"/>
      <c r="AF140" s="567"/>
      <c r="AG140" s="112">
        <f>SUM(AG136:AG139)</f>
        <v>0</v>
      </c>
      <c r="AH140" s="113">
        <f>SUM(AH136:AH139)</f>
        <v>0</v>
      </c>
      <c r="AI140" s="113">
        <f>SUM(AI136:AI139)</f>
        <v>0</v>
      </c>
      <c r="AJ140" s="113">
        <f>SUM(AJ136:AJ139)</f>
        <v>0</v>
      </c>
      <c r="AK140" s="118">
        <f>SUM(AK136:AK139)</f>
        <v>0</v>
      </c>
      <c r="AL140" s="119"/>
      <c r="AM140" s="109"/>
      <c r="AN140" s="110"/>
      <c r="AO140" s="110"/>
      <c r="AP140" s="124"/>
      <c r="AQ140" s="126"/>
      <c r="AR140" s="113"/>
      <c r="AS140" s="113"/>
      <c r="AT140" s="113"/>
      <c r="AU140" s="120"/>
      <c r="AV140" s="113"/>
      <c r="AW140" s="114"/>
      <c r="AX140" s="110"/>
      <c r="AY140" s="127"/>
      <c r="AZ140" s="119"/>
      <c r="BA140" s="119"/>
      <c r="BB140" s="113"/>
      <c r="BC140" s="121"/>
      <c r="BG140" s="144"/>
      <c r="BU140" s="6"/>
      <c r="BV140" s="6"/>
      <c r="BW140" s="6"/>
      <c r="BX140" s="6"/>
      <c r="BY140" s="6"/>
      <c r="BZ140" s="6"/>
      <c r="CA140" s="6"/>
      <c r="CB140" s="6"/>
    </row>
    <row r="141" spans="1:80" s="106" customFormat="1" ht="13.5" thickBot="1">
      <c r="A141" s="699"/>
      <c r="B141" s="131" t="s">
        <v>37</v>
      </c>
      <c r="C141" s="132" t="s">
        <v>1</v>
      </c>
      <c r="D141" s="109"/>
      <c r="E141" s="110"/>
      <c r="F141" s="110"/>
      <c r="G141" s="111"/>
      <c r="H141" s="130">
        <f>'[2]Fly ash'!$E$262</f>
        <v>1539248.889743719</v>
      </c>
      <c r="I141" s="112"/>
      <c r="J141" s="113"/>
      <c r="K141" s="113"/>
      <c r="L141" s="114"/>
      <c r="M141" s="562"/>
      <c r="N141" s="127"/>
      <c r="O141" s="119"/>
      <c r="P141" s="119"/>
      <c r="Q141" s="113">
        <f>H141</f>
        <v>1539248.889743719</v>
      </c>
      <c r="R141" s="115">
        <f>Q141/[2]Popn!$H$41*1000</f>
        <v>287.27359150220479</v>
      </c>
      <c r="T141" s="109"/>
      <c r="U141" s="110"/>
      <c r="V141" s="110"/>
      <c r="W141" s="111"/>
      <c r="X141" s="110"/>
      <c r="Y141" s="110"/>
      <c r="Z141" s="110"/>
      <c r="AA141" s="117">
        <f>'[2]Fly ash'!$E$254</f>
        <v>1154360.2358490566</v>
      </c>
      <c r="AB141" s="113"/>
      <c r="AC141" s="113"/>
      <c r="AD141" s="113"/>
      <c r="AE141" s="113"/>
      <c r="AF141" s="567"/>
      <c r="AG141" s="112"/>
      <c r="AH141" s="113"/>
      <c r="AI141" s="113"/>
      <c r="AJ141" s="113">
        <f>AA141</f>
        <v>1154360.2358490566</v>
      </c>
      <c r="AK141" s="115">
        <f>AJ141/[2]Popn!$H$41*1000</f>
        <v>215.44092904618179</v>
      </c>
      <c r="AL141" s="119"/>
      <c r="AM141" s="109"/>
      <c r="AN141" s="110"/>
      <c r="AO141" s="110"/>
      <c r="AP141" s="111"/>
      <c r="AQ141" s="117"/>
      <c r="AR141" s="113"/>
      <c r="AS141" s="113"/>
      <c r="AT141" s="113"/>
      <c r="AU141" s="120"/>
      <c r="AV141" s="113"/>
      <c r="AW141" s="114"/>
      <c r="AX141" s="110"/>
      <c r="AY141" s="127"/>
      <c r="AZ141" s="119"/>
      <c r="BA141" s="119"/>
      <c r="BB141" s="119"/>
      <c r="BC141" s="121"/>
      <c r="BG141" s="144"/>
    </row>
    <row r="142" spans="1:80" ht="13.5" thickBot="1">
      <c r="B142" s="19"/>
      <c r="C142" s="38"/>
      <c r="D142" s="57"/>
      <c r="E142" s="2"/>
      <c r="F142" s="2"/>
      <c r="G142" s="63"/>
      <c r="H142" s="2"/>
      <c r="I142" s="20"/>
      <c r="J142" s="21"/>
      <c r="K142" s="21"/>
      <c r="L142" s="22"/>
      <c r="M142" s="212"/>
      <c r="N142" s="23"/>
      <c r="O142" s="19"/>
      <c r="P142" s="19"/>
      <c r="Q142" s="19"/>
      <c r="R142" s="24"/>
      <c r="T142" s="57"/>
      <c r="U142" s="2"/>
      <c r="V142" s="2"/>
      <c r="W142" s="63"/>
      <c r="X142" s="2"/>
      <c r="Y142" s="2"/>
      <c r="Z142" s="2"/>
      <c r="AA142" s="68"/>
      <c r="AB142" s="21"/>
      <c r="AC142" s="21"/>
      <c r="AD142" s="21"/>
      <c r="AE142" s="21"/>
      <c r="AF142" s="355"/>
      <c r="AG142" s="20"/>
      <c r="AH142" s="21"/>
      <c r="AI142" s="21"/>
      <c r="AJ142" s="21"/>
      <c r="AK142" s="29"/>
      <c r="AL142" s="19"/>
      <c r="AM142" s="57"/>
      <c r="AN142" s="2"/>
      <c r="AO142" s="2"/>
      <c r="AP142" s="63"/>
      <c r="AQ142" s="68"/>
      <c r="AR142" s="21"/>
      <c r="AS142" s="21"/>
      <c r="AT142" s="21"/>
      <c r="AU142" s="25"/>
      <c r="AV142" s="21"/>
      <c r="AW142" s="22"/>
      <c r="AX142" s="2"/>
      <c r="AY142" s="23"/>
      <c r="AZ142" s="19"/>
      <c r="BA142" s="19"/>
      <c r="BB142" s="19"/>
      <c r="BC142" s="24"/>
      <c r="BU142" s="106"/>
      <c r="BV142" s="106"/>
      <c r="BW142" s="106"/>
      <c r="BX142" s="106"/>
      <c r="BY142" s="106"/>
      <c r="BZ142" s="106"/>
      <c r="CA142" s="106"/>
      <c r="CB142" s="106"/>
    </row>
    <row r="143" spans="1:80" ht="13.5" thickBot="1">
      <c r="C143" s="39" t="s">
        <v>38</v>
      </c>
      <c r="D143" s="58"/>
      <c r="E143" s="59"/>
      <c r="F143" s="2"/>
      <c r="G143" s="65"/>
      <c r="H143" s="2"/>
      <c r="I143" s="20"/>
      <c r="J143" s="21"/>
      <c r="K143" s="21"/>
      <c r="L143" s="22"/>
      <c r="M143" s="212" t="s">
        <v>51</v>
      </c>
      <c r="N143" s="23"/>
      <c r="O143" s="19"/>
      <c r="P143" s="19"/>
      <c r="Q143" s="19"/>
      <c r="R143" s="24"/>
      <c r="T143" s="58"/>
      <c r="U143" s="59"/>
      <c r="V143" s="2"/>
      <c r="W143" s="65"/>
      <c r="X143" s="2"/>
      <c r="Y143" s="2"/>
      <c r="Z143" s="2"/>
      <c r="AA143" s="68"/>
      <c r="AB143" s="21"/>
      <c r="AC143" s="21"/>
      <c r="AD143" s="21"/>
      <c r="AE143" s="21"/>
      <c r="AF143" s="355"/>
      <c r="AG143" s="20"/>
      <c r="AH143" s="21"/>
      <c r="AI143" s="21"/>
      <c r="AJ143" s="21"/>
      <c r="AK143" s="40"/>
      <c r="AL143" s="19"/>
      <c r="AM143" s="58"/>
      <c r="AN143" s="59"/>
      <c r="AO143" s="2"/>
      <c r="AP143" s="65"/>
      <c r="AQ143" s="68"/>
      <c r="AR143" s="21"/>
      <c r="AS143" s="21"/>
      <c r="AT143" s="21"/>
      <c r="AU143" s="25"/>
      <c r="AV143" s="21"/>
      <c r="AW143" s="22"/>
      <c r="AX143" s="2" t="s">
        <v>52</v>
      </c>
      <c r="AY143" s="23"/>
      <c r="AZ143" s="19"/>
      <c r="BA143" s="19"/>
      <c r="BB143" s="19"/>
      <c r="BC143" s="24"/>
    </row>
    <row r="144" spans="1:80" ht="13.5" thickBot="1">
      <c r="C144" s="135" t="s">
        <v>92</v>
      </c>
      <c r="D144" s="134">
        <f>[2]VIC!$B$68</f>
        <v>1752573.8914499998</v>
      </c>
      <c r="E144" s="706">
        <f>[2]VIC!$C$68</f>
        <v>2485505.2861499996</v>
      </c>
      <c r="F144" s="707"/>
      <c r="G144" s="66">
        <f>SUM(D144:F144,G137:G139)</f>
        <v>4591859.1775999991</v>
      </c>
      <c r="H144" s="4"/>
      <c r="I144" s="41">
        <f>SUM(I140,I135,I132,I130,I125,I121,I116,I110,I106)</f>
        <v>1752573.8914499998</v>
      </c>
      <c r="J144" s="727">
        <f>SUM(J106:K106,J110:K110,J116:K116,J121:K121,J125:K125,J130:K132,J135:K135,J140:K140)</f>
        <v>2839285.2861499996</v>
      </c>
      <c r="K144" s="728"/>
      <c r="L144" s="42">
        <f>SUM(L140,L135,L132,L130,L125,L121,L116,L110,L106)</f>
        <v>4591859.1775999991</v>
      </c>
      <c r="M144" s="563"/>
      <c r="N144" s="44">
        <f>SUM(N140,N135,N132,N131,N121,N116,N110,N106)</f>
        <v>1567337.2434220903</v>
      </c>
      <c r="O144" s="45">
        <f>SUM(O140,O135,O132,O131,O121,O116,O110,O106)</f>
        <v>1567462.4603331392</v>
      </c>
      <c r="P144" s="45">
        <f>SUM(P140,P135,P132,P131,P121,P116,P110,P106)</f>
        <v>1204207.0000699547</v>
      </c>
      <c r="Q144" s="133">
        <f>SUM(Q140,Q135,Q132,Q131,Q121,Q116,Q110,Q106,Q143)</f>
        <v>4339006.7038251832</v>
      </c>
      <c r="R144" s="27">
        <f>SUM(R140,R135,R132,R131,R121,R116,R110,R106)</f>
        <v>809.79888805866858</v>
      </c>
      <c r="T144" s="60"/>
      <c r="U144" s="706"/>
      <c r="V144" s="707"/>
      <c r="W144" s="66"/>
      <c r="X144" s="61"/>
      <c r="Y144" s="61"/>
      <c r="Z144" s="61"/>
      <c r="AA144" s="71"/>
      <c r="AB144" s="45"/>
      <c r="AC144" s="45"/>
      <c r="AD144" s="45"/>
      <c r="AE144" s="45"/>
      <c r="AF144" s="555"/>
      <c r="AG144" s="44">
        <f>SUM(AG140,AG135,AG132,AG131,AG121,AG116,AG110,AG106)</f>
        <v>1181744.0216666667</v>
      </c>
      <c r="AH144" s="45">
        <f>SUM(AH140,AH135,AH132,AH131,AH121,AH116,AH110,AH106)</f>
        <v>2156397.166666667</v>
      </c>
      <c r="AI144" s="45">
        <f>SUM(AI140,AI135,AI132,AI131,AI121,AI116,AI110,AI106)</f>
        <v>2447975.9449999998</v>
      </c>
      <c r="AJ144" s="354">
        <f>SUM(AJ140,AJ135,AJ132,AJ131,AJ121,AJ116,AJ110,AJ106,AJ143)</f>
        <v>5786117.1333333328</v>
      </c>
      <c r="AK144" s="27">
        <f>SUM(AK140,AK135,AK132,AK131,AK121,AK116,AK110,AK106,AK143)</f>
        <v>1079.4363116434706</v>
      </c>
      <c r="AL144" s="19"/>
      <c r="AM144" s="60"/>
      <c r="AN144" s="706"/>
      <c r="AO144" s="707"/>
      <c r="AP144" s="66"/>
      <c r="AQ144" s="71"/>
      <c r="AR144" s="43"/>
      <c r="AS144" s="46">
        <f>SUM(AS101:AS143)</f>
        <v>1</v>
      </c>
      <c r="AT144" s="45">
        <f>SUM(AT101:AT143)</f>
        <v>330565.25937921187</v>
      </c>
      <c r="AU144" s="47"/>
      <c r="AV144" s="45"/>
      <c r="AW144" s="48"/>
      <c r="AX144" s="43"/>
      <c r="AY144" s="44">
        <f>SUM(AY140,AY135,AY132,AY131,AY121,AY116,AY110,AY106)</f>
        <v>185236.64802790957</v>
      </c>
      <c r="AZ144" s="45">
        <f>SUM(AZ140,AZ135,AZ132,AZ131,AZ121,AZ116,AZ110,AZ106)</f>
        <v>69362.817079860601</v>
      </c>
      <c r="BA144" s="45">
        <f>SUM(BA140,BA135,BA132,BA131,BA121,BA116,BA110,BA106)</f>
        <v>895.00866704523264</v>
      </c>
      <c r="BB144" s="354">
        <f>SUM(BB140,BB135,BB132,BB131,BB121,BB116,BB110,BB106,BB143)</f>
        <v>255494.47377481544</v>
      </c>
      <c r="BC144" s="27">
        <f>SUM(BC140,BC135,BC132,BC131,BC121,BC116,BC110,BC106,BC143)</f>
        <v>47.683526412988009</v>
      </c>
    </row>
    <row r="145" spans="1:80" ht="13.5" thickBot="1">
      <c r="C145" s="136" t="s">
        <v>65</v>
      </c>
      <c r="Q145" s="49">
        <f>Q144+Q141</f>
        <v>5878255.5935689025</v>
      </c>
      <c r="R145" s="216">
        <f>R144+R141</f>
        <v>1097.0724795608735</v>
      </c>
      <c r="AJ145" s="353">
        <f>AJ144+AJ141</f>
        <v>6940477.3691823892</v>
      </c>
      <c r="AK145" s="216">
        <f>AK144+AK141</f>
        <v>1294.8772406896524</v>
      </c>
      <c r="BB145" s="353">
        <f>BB144+BB141</f>
        <v>255494.47377481544</v>
      </c>
      <c r="BC145" s="216">
        <f>BC144+BC141</f>
        <v>47.683526412988009</v>
      </c>
    </row>
    <row r="147" spans="1:80" ht="13.5" thickBot="1">
      <c r="C147" s="89"/>
    </row>
    <row r="148" spans="1:80">
      <c r="A148" s="699" t="s">
        <v>83</v>
      </c>
      <c r="B148" s="16" t="s">
        <v>3</v>
      </c>
      <c r="C148" s="148" t="s">
        <v>16</v>
      </c>
      <c r="D148" s="55"/>
      <c r="E148" s="56"/>
      <c r="F148" s="56"/>
      <c r="G148" s="149"/>
      <c r="H148" s="150"/>
      <c r="I148" s="151"/>
      <c r="J148" s="26"/>
      <c r="K148" s="26"/>
      <c r="L148" s="133"/>
      <c r="M148" s="561"/>
      <c r="N148" s="16"/>
      <c r="O148" s="18"/>
      <c r="P148" s="18"/>
      <c r="Q148" s="18"/>
      <c r="R148" s="28"/>
      <c r="S148" s="152"/>
      <c r="T148" s="196">
        <f>SUMIF([2]VIC!$D$75:$D$108,$C148,[2]VIC!K$75:K$108)</f>
        <v>64565</v>
      </c>
      <c r="U148" s="197">
        <f>SUMIF([2]VIC!$D$75:$D$108,$C148,[2]VIC!L$75:L$108)</f>
        <v>7615</v>
      </c>
      <c r="V148" s="197">
        <f>SUMIF([2]VIC!$D$75:$D$108,$C148,[2]VIC!M$75:M$108)</f>
        <v>117340</v>
      </c>
      <c r="W148" s="149"/>
      <c r="X148" s="56"/>
      <c r="Y148" s="56"/>
      <c r="Z148" s="56"/>
      <c r="AA148" s="153"/>
      <c r="AB148" s="26"/>
      <c r="AC148" s="26"/>
      <c r="AD148" s="26"/>
      <c r="AE148" s="26"/>
      <c r="AF148" s="566"/>
      <c r="AG148" s="151">
        <f t="shared" ref="AG148:AI152" si="42">T148</f>
        <v>64565</v>
      </c>
      <c r="AH148" s="26">
        <f t="shared" si="42"/>
        <v>7615</v>
      </c>
      <c r="AI148" s="26">
        <f t="shared" si="42"/>
        <v>117340</v>
      </c>
      <c r="AJ148" s="26">
        <f>SUM(AG148:AI148)</f>
        <v>189520</v>
      </c>
      <c r="AK148" s="27">
        <f>AJ148/[2]Popn!$H$40*1000</f>
        <v>36.620651249357032</v>
      </c>
      <c r="AL148" s="18"/>
      <c r="AM148" s="55"/>
      <c r="AN148" s="56"/>
      <c r="AO148" s="56"/>
      <c r="AP148" s="149"/>
      <c r="AQ148" s="153"/>
      <c r="AR148" s="26"/>
      <c r="AS148" s="26"/>
      <c r="AT148" s="26"/>
      <c r="AU148" s="154"/>
      <c r="AV148" s="26"/>
      <c r="AW148" s="133"/>
      <c r="AX148" s="56"/>
      <c r="AY148" s="16"/>
      <c r="AZ148" s="18"/>
      <c r="BA148" s="18"/>
      <c r="BB148" s="18"/>
      <c r="BC148" s="28"/>
      <c r="BD148" s="155"/>
      <c r="BH148" s="700" t="s">
        <v>86</v>
      </c>
      <c r="BI148" s="701"/>
      <c r="BJ148" s="701"/>
      <c r="BK148" s="701"/>
      <c r="BL148" s="702"/>
      <c r="BM148" s="700" t="s">
        <v>87</v>
      </c>
      <c r="BN148" s="702"/>
      <c r="BP148" s="8"/>
      <c r="BQ148" s="8"/>
      <c r="BR148" s="8"/>
      <c r="BS148" s="8"/>
      <c r="BT148" s="8"/>
    </row>
    <row r="149" spans="1:80">
      <c r="A149" s="699"/>
      <c r="B149" s="23"/>
      <c r="C149" s="17" t="s">
        <v>17</v>
      </c>
      <c r="D149" s="57"/>
      <c r="E149" s="2"/>
      <c r="F149" s="2"/>
      <c r="G149" s="63"/>
      <c r="H149" s="5"/>
      <c r="I149" s="20"/>
      <c r="J149" s="21"/>
      <c r="K149" s="21"/>
      <c r="L149" s="22"/>
      <c r="M149" s="212"/>
      <c r="N149" s="23"/>
      <c r="O149" s="19"/>
      <c r="P149" s="19"/>
      <c r="Q149" s="19"/>
      <c r="R149" s="24"/>
      <c r="T149" s="201">
        <f>SUMIF([2]VIC!$D$75:$D$108,$C149,[2]VIC!K$75:K$108)</f>
        <v>10468</v>
      </c>
      <c r="U149" s="198">
        <f>SUMIF([2]VIC!$D$75:$D$108,$C149,[2]VIC!L$75:L$108)</f>
        <v>36814</v>
      </c>
      <c r="V149" s="198">
        <f>SUMIF([2]VIC!$D$75:$D$108,$C149,[2]VIC!M$75:M$108)</f>
        <v>390562</v>
      </c>
      <c r="W149" s="63"/>
      <c r="X149" s="2"/>
      <c r="Y149" s="2"/>
      <c r="Z149" s="2"/>
      <c r="AA149" s="67"/>
      <c r="AB149" s="21"/>
      <c r="AC149" s="21"/>
      <c r="AD149" s="21"/>
      <c r="AE149" s="21"/>
      <c r="AF149" s="355"/>
      <c r="AG149" s="20">
        <f t="shared" si="42"/>
        <v>10468</v>
      </c>
      <c r="AH149" s="21">
        <f t="shared" si="42"/>
        <v>36814</v>
      </c>
      <c r="AI149" s="21">
        <f t="shared" si="42"/>
        <v>390562</v>
      </c>
      <c r="AJ149" s="21">
        <f>SUM(AG149:AI149)</f>
        <v>437844</v>
      </c>
      <c r="AK149" s="29">
        <f>AJ149/[2]Popn!$H$40*1000</f>
        <v>84.603906846894688</v>
      </c>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8"/>
    </row>
    <row r="150" spans="1:80">
      <c r="A150" s="699"/>
      <c r="B150" s="23"/>
      <c r="C150" s="17" t="s">
        <v>18</v>
      </c>
      <c r="D150" s="57"/>
      <c r="E150" s="2"/>
      <c r="F150" s="2"/>
      <c r="G150" s="63"/>
      <c r="H150" s="5"/>
      <c r="I150" s="20"/>
      <c r="J150" s="21"/>
      <c r="K150" s="21"/>
      <c r="L150" s="22"/>
      <c r="M150" s="212"/>
      <c r="N150" s="23"/>
      <c r="O150" s="19"/>
      <c r="P150" s="19"/>
      <c r="Q150" s="19"/>
      <c r="R150" s="24"/>
      <c r="T150" s="201">
        <f>SUMIF([2]VIC!$D$75:$D$108,$C150,[2]VIC!K$75:K$108)</f>
        <v>51051</v>
      </c>
      <c r="U150" s="198">
        <f>SUMIF([2]VIC!$D$75:$D$108,$C150,[2]VIC!L$75:L$108)</f>
        <v>100082</v>
      </c>
      <c r="V150" s="198">
        <f>SUMIF([2]VIC!$D$75:$D$108,$C150,[2]VIC!M$75:M$108)</f>
        <v>1544175</v>
      </c>
      <c r="W150" s="63"/>
      <c r="X150" s="2"/>
      <c r="Y150" s="2"/>
      <c r="Z150" s="2"/>
      <c r="AA150" s="67"/>
      <c r="AB150" s="21"/>
      <c r="AC150" s="21"/>
      <c r="AD150" s="21"/>
      <c r="AE150" s="21"/>
      <c r="AF150" s="355"/>
      <c r="AG150" s="20">
        <f t="shared" si="42"/>
        <v>51051</v>
      </c>
      <c r="AH150" s="21">
        <f t="shared" si="42"/>
        <v>100082</v>
      </c>
      <c r="AI150" s="21">
        <f t="shared" si="42"/>
        <v>1544175</v>
      </c>
      <c r="AJ150" s="21">
        <f>SUM(AG150:AI150)</f>
        <v>1695308</v>
      </c>
      <c r="AK150" s="29">
        <f>AJ150/[2]Popn!$H$40*1000</f>
        <v>327.58169601226768</v>
      </c>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7"/>
    </row>
    <row r="151" spans="1:80">
      <c r="A151" s="699"/>
      <c r="B151" s="23"/>
      <c r="C151" s="17" t="s">
        <v>182</v>
      </c>
      <c r="D151" s="57"/>
      <c r="E151" s="2"/>
      <c r="F151" s="2"/>
      <c r="G151" s="63"/>
      <c r="H151" s="2"/>
      <c r="I151" s="20"/>
      <c r="J151" s="21"/>
      <c r="K151" s="21"/>
      <c r="L151" s="22"/>
      <c r="M151" s="212"/>
      <c r="N151" s="23"/>
      <c r="O151" s="19"/>
      <c r="P151" s="19"/>
      <c r="Q151" s="19"/>
      <c r="R151" s="24"/>
      <c r="T151" s="201">
        <f>SUMIF([2]VIC!$D$75:$D$108,$C151,[2]VIC!K$75:K$108)</f>
        <v>7651</v>
      </c>
      <c r="U151" s="198">
        <f>SUMIF([2]VIC!$D$75:$D$108,$C151,[2]VIC!L$75:L$108)</f>
        <v>58232</v>
      </c>
      <c r="V151" s="198">
        <f>SUMIF([2]VIC!$D$75:$D$108,$C151,[2]VIC!M$75:M$108)</f>
        <v>254626</v>
      </c>
      <c r="W151" s="63"/>
      <c r="X151" s="2"/>
      <c r="Y151" s="2"/>
      <c r="Z151" s="2"/>
      <c r="AA151" s="68"/>
      <c r="AB151" s="21"/>
      <c r="AC151" s="21"/>
      <c r="AD151" s="21"/>
      <c r="AE151" s="21"/>
      <c r="AF151" s="355"/>
      <c r="AG151" s="20">
        <f t="shared" si="42"/>
        <v>7651</v>
      </c>
      <c r="AH151" s="21">
        <f t="shared" si="42"/>
        <v>58232</v>
      </c>
      <c r="AI151" s="21">
        <f t="shared" si="42"/>
        <v>254626</v>
      </c>
      <c r="AJ151" s="21">
        <f>SUM(AG151:AI151)</f>
        <v>320509</v>
      </c>
      <c r="AK151" s="29">
        <f>AJ151/[2]Popn!$H$40*1000</f>
        <v>61.931449510764949</v>
      </c>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1672.3308326079859</v>
      </c>
      <c r="BI151" s="52">
        <f>O191/1000</f>
        <v>1661.9013036214403</v>
      </c>
      <c r="BJ151" s="52">
        <f>P191/1000</f>
        <v>1581.437333395806</v>
      </c>
      <c r="BK151" s="53">
        <f>Q191/1000</f>
        <v>4915.6694696252325</v>
      </c>
      <c r="BL151" s="54">
        <f>R191/1000</f>
        <v>0.94984707315458783</v>
      </c>
      <c r="BM151" s="51">
        <f>Q192/1000</f>
        <v>6640.2246669332781</v>
      </c>
      <c r="BN151" s="54">
        <f>R192/1000</f>
        <v>1.2830801590604766</v>
      </c>
      <c r="BP151" s="30"/>
      <c r="BQ151" s="30"/>
      <c r="BR151" s="30"/>
      <c r="BS151" s="31"/>
      <c r="BT151" s="31"/>
      <c r="BU151" s="32"/>
    </row>
    <row r="152" spans="1:80">
      <c r="A152" s="699"/>
      <c r="B152" s="23"/>
      <c r="C152" s="17" t="s">
        <v>183</v>
      </c>
      <c r="D152" s="57"/>
      <c r="E152" s="2"/>
      <c r="F152" s="2"/>
      <c r="G152" s="63"/>
      <c r="H152" s="2"/>
      <c r="I152" s="20"/>
      <c r="J152" s="21"/>
      <c r="K152" s="21"/>
      <c r="L152" s="22"/>
      <c r="M152" s="212"/>
      <c r="N152" s="23"/>
      <c r="O152" s="19"/>
      <c r="P152" s="19"/>
      <c r="Q152" s="19"/>
      <c r="R152" s="33"/>
      <c r="T152" s="201">
        <f>SUMIF([2]VIC!$D$75:$D$108,$C152,[2]VIC!K$75:K$108)</f>
        <v>1899</v>
      </c>
      <c r="U152" s="198">
        <f>SUMIF([2]VIC!$D$75:$D$108,$C152,[2]VIC!L$75:L$108)</f>
        <v>20401</v>
      </c>
      <c r="V152" s="198">
        <f>SUMIF([2]VIC!$D$75:$D$108,$C152,[2]VIC!M$75:M$108)</f>
        <v>0</v>
      </c>
      <c r="W152" s="63"/>
      <c r="X152" s="2"/>
      <c r="Y152" s="2"/>
      <c r="Z152" s="2"/>
      <c r="AA152" s="68"/>
      <c r="AB152" s="21"/>
      <c r="AC152" s="21"/>
      <c r="AD152" s="21"/>
      <c r="AE152" s="21"/>
      <c r="AF152" s="355"/>
      <c r="AG152" s="20">
        <f t="shared" si="42"/>
        <v>1899</v>
      </c>
      <c r="AH152" s="21">
        <f t="shared" si="42"/>
        <v>20401</v>
      </c>
      <c r="AI152" s="21">
        <f t="shared" si="42"/>
        <v>0</v>
      </c>
      <c r="AJ152" s="21">
        <f>SUM(AG152:AI152)</f>
        <v>22300</v>
      </c>
      <c r="AK152" s="29">
        <f>AJ152/[2]Popn!$H$40*1000</f>
        <v>4.3089938943682036</v>
      </c>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1125.7523003000001</v>
      </c>
      <c r="BI152" s="52">
        <f>AH191/1000</f>
        <v>2273.0396735999998</v>
      </c>
      <c r="BJ152" s="52">
        <f>AI191/1000</f>
        <v>2456.2595260999997</v>
      </c>
      <c r="BK152" s="53">
        <f>AJ191/1000</f>
        <v>5855.0514999999996</v>
      </c>
      <c r="BL152" s="54">
        <f>AK191/1000</f>
        <v>1.1302591426986355</v>
      </c>
      <c r="BM152" s="51">
        <f>AJ192/1000</f>
        <v>6897.2550591924137</v>
      </c>
      <c r="BN152" s="54">
        <f>AK192/1000</f>
        <v>1.3316424957591253</v>
      </c>
      <c r="BU152" s="32"/>
    </row>
    <row r="153" spans="1:80" s="106" customFormat="1">
      <c r="A153" s="699"/>
      <c r="B153" s="107" t="s">
        <v>67</v>
      </c>
      <c r="C153" s="108"/>
      <c r="D153" s="109"/>
      <c r="E153" s="110"/>
      <c r="F153" s="110"/>
      <c r="G153" s="111"/>
      <c r="H153" s="110"/>
      <c r="I153" s="112">
        <f>D191*[2]VIC!K$24/(1-[2]VIC!$K$25)</f>
        <v>248116.59159072032</v>
      </c>
      <c r="J153" s="113">
        <f>E191*[2]VIC!L$31*[2]VIC!L$24/(1-[2]VIC!$L$25)</f>
        <v>191529.73151817865</v>
      </c>
      <c r="K153" s="113">
        <f>E191*[2]VIC!M$31*[2]VIC!M$24/(1-[2]VIC!$M$25)</f>
        <v>814225.56305624393</v>
      </c>
      <c r="L153" s="114">
        <f>SUM(I153:K153)</f>
        <v>1253871.886165143</v>
      </c>
      <c r="M153" s="562"/>
      <c r="N153" s="112">
        <f>I153-AU153</f>
        <v>248116.59159072032</v>
      </c>
      <c r="O153" s="113">
        <f>J153-AV153</f>
        <v>191529.73151817865</v>
      </c>
      <c r="P153" s="113">
        <f>K153-AW153</f>
        <v>814225.56305624393</v>
      </c>
      <c r="Q153" s="113">
        <f>SUM(N153:P153)</f>
        <v>1253871.886165143</v>
      </c>
      <c r="R153" s="115">
        <f>Q153/[2]Popn!$H$40*1000</f>
        <v>242.28369066392571</v>
      </c>
      <c r="T153" s="201"/>
      <c r="U153" s="198"/>
      <c r="V153" s="198"/>
      <c r="W153" s="111"/>
      <c r="X153" s="110"/>
      <c r="Y153" s="110"/>
      <c r="Z153" s="110"/>
      <c r="AA153" s="116"/>
      <c r="AB153" s="113"/>
      <c r="AC153" s="113"/>
      <c r="AD153" s="113"/>
      <c r="AE153" s="113"/>
      <c r="AF153" s="567"/>
      <c r="AG153" s="112">
        <f>SUM(AG148:AG152)</f>
        <v>135634</v>
      </c>
      <c r="AH153" s="113">
        <f>SUM(AH148:AH152)</f>
        <v>223144</v>
      </c>
      <c r="AI153" s="113">
        <f>SUM(AI148:AI152)</f>
        <v>2306703</v>
      </c>
      <c r="AJ153" s="113">
        <f>SUM(AJ148:AJ152)</f>
        <v>2665481</v>
      </c>
      <c r="AK153" s="118">
        <f>SUM(AK148:AK152)</f>
        <v>515.04669751365259</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187.77952549201422</v>
      </c>
      <c r="BI153" s="52">
        <f>AZ191/1000</f>
        <v>70.149208387559483</v>
      </c>
      <c r="BJ153" s="52">
        <f>BA191/1000</f>
        <v>0.8874965451937108</v>
      </c>
      <c r="BK153" s="53">
        <f>BB191/1000</f>
        <v>258.81623042476741</v>
      </c>
      <c r="BL153" s="54">
        <f>BC191/1000</f>
        <v>5.0010652765189088E-2</v>
      </c>
      <c r="BM153" s="51">
        <f>BB192/1000</f>
        <v>258.81623042476741</v>
      </c>
      <c r="BN153" s="54">
        <f>BC192/1000</f>
        <v>5.0010652765189088E-2</v>
      </c>
      <c r="BO153" s="6"/>
      <c r="BU153" s="6"/>
      <c r="BV153" s="6"/>
      <c r="BW153" s="6"/>
      <c r="BX153" s="6"/>
      <c r="BY153" s="6"/>
      <c r="BZ153" s="6"/>
      <c r="CA153" s="6"/>
      <c r="CB153" s="6"/>
    </row>
    <row r="154" spans="1:80">
      <c r="A154" s="699"/>
      <c r="B154" s="23" t="s">
        <v>4</v>
      </c>
      <c r="C154" s="17" t="s">
        <v>19</v>
      </c>
      <c r="D154" s="57"/>
      <c r="E154" s="2"/>
      <c r="F154" s="2"/>
      <c r="G154" s="63"/>
      <c r="H154" s="2"/>
      <c r="I154" s="20"/>
      <c r="J154" s="21"/>
      <c r="K154" s="21"/>
      <c r="L154" s="22"/>
      <c r="M154" s="212"/>
      <c r="N154" s="23"/>
      <c r="O154" s="19"/>
      <c r="P154" s="19"/>
      <c r="Q154" s="19"/>
      <c r="R154" s="33"/>
      <c r="T154" s="201">
        <f>SUMIF([2]VIC!$D$75:$D$108,$C154,[2]VIC!K$75:K$108)</f>
        <v>172408</v>
      </c>
      <c r="U154" s="198">
        <f>SUMIF([2]VIC!$D$75:$D$108,$C154,[2]VIC!L$75:L$108)</f>
        <v>833820</v>
      </c>
      <c r="V154" s="198">
        <f>SUMIF([2]VIC!$D$75:$D$108,$C154,[2]VIC!M$75:M$108)</f>
        <v>110999</v>
      </c>
      <c r="W154" s="63"/>
      <c r="X154" s="2"/>
      <c r="Y154" s="2"/>
      <c r="Z154" s="2"/>
      <c r="AA154" s="68"/>
      <c r="AB154" s="21"/>
      <c r="AC154" s="21"/>
      <c r="AD154" s="21"/>
      <c r="AE154" s="21"/>
      <c r="AF154" s="355"/>
      <c r="AG154" s="20">
        <f t="shared" ref="AG154:AI156" si="43">T154</f>
        <v>172408</v>
      </c>
      <c r="AH154" s="21">
        <f t="shared" si="43"/>
        <v>833820</v>
      </c>
      <c r="AI154" s="21">
        <f t="shared" si="43"/>
        <v>110999</v>
      </c>
      <c r="AJ154" s="21">
        <f>SUM(AG154:AI154)</f>
        <v>1117227</v>
      </c>
      <c r="AK154" s="29">
        <f>AJ154/[2]Popn!$H$40*1000</f>
        <v>215.8800144225697</v>
      </c>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44">SUM(BH152:BH153)/BH155</f>
        <v>0.43991702769607011</v>
      </c>
      <c r="BI154" s="86">
        <f t="shared" si="44"/>
        <v>0.5850527137708541</v>
      </c>
      <c r="BJ154" s="86">
        <f t="shared" si="44"/>
        <v>0.60841790241913385</v>
      </c>
      <c r="BK154" s="87">
        <f t="shared" si="44"/>
        <v>0.5543177034116219</v>
      </c>
      <c r="BL154" s="87">
        <f t="shared" si="44"/>
        <v>0.55408687328472472</v>
      </c>
      <c r="BM154" s="88">
        <f t="shared" si="44"/>
        <v>0.51869511296033699</v>
      </c>
      <c r="BN154" s="87">
        <f t="shared" si="44"/>
        <v>0.51849584519082348</v>
      </c>
      <c r="BU154" s="106"/>
      <c r="BV154" s="106"/>
      <c r="BW154" s="106"/>
      <c r="BX154" s="106"/>
      <c r="BY154" s="106"/>
      <c r="BZ154" s="106"/>
      <c r="CA154" s="106"/>
      <c r="CB154" s="106"/>
    </row>
    <row r="155" spans="1:80">
      <c r="A155" s="699"/>
      <c r="B155" s="23"/>
      <c r="C155" s="17" t="s">
        <v>20</v>
      </c>
      <c r="D155" s="57"/>
      <c r="E155" s="2"/>
      <c r="F155" s="2"/>
      <c r="G155" s="63"/>
      <c r="H155" s="2"/>
      <c r="I155" s="20"/>
      <c r="J155" s="21"/>
      <c r="K155" s="21"/>
      <c r="L155" s="22"/>
      <c r="M155" s="212"/>
      <c r="N155" s="23"/>
      <c r="O155" s="19"/>
      <c r="P155" s="19"/>
      <c r="Q155" s="19"/>
      <c r="R155" s="33"/>
      <c r="T155" s="201">
        <f>SUMIF([2]VIC!$D$75:$D$108,$C155,[2]VIC!K$75:K$108)</f>
        <v>22784</v>
      </c>
      <c r="U155" s="198">
        <f>SUMIF([2]VIC!$D$75:$D$108,$C155,[2]VIC!L$75:L$108)</f>
        <v>38867</v>
      </c>
      <c r="V155" s="198">
        <f>SUMIF([2]VIC!$D$75:$D$108,$C155,[2]VIC!M$75:M$108)</f>
        <v>1356</v>
      </c>
      <c r="W155" s="63"/>
      <c r="X155" s="2"/>
      <c r="Y155" s="2"/>
      <c r="Z155" s="2"/>
      <c r="AA155" s="68"/>
      <c r="AB155" s="21"/>
      <c r="AC155" s="21"/>
      <c r="AD155" s="21"/>
      <c r="AE155" s="21"/>
      <c r="AF155" s="355"/>
      <c r="AG155" s="20">
        <f t="shared" si="43"/>
        <v>22784</v>
      </c>
      <c r="AH155" s="21">
        <f t="shared" si="43"/>
        <v>38867</v>
      </c>
      <c r="AI155" s="21">
        <f t="shared" si="43"/>
        <v>1356</v>
      </c>
      <c r="AJ155" s="21">
        <f>SUM(AG155:AI155)</f>
        <v>63007</v>
      </c>
      <c r="AK155" s="29">
        <f>AJ155/[2]Popn!$H$40*1000</f>
        <v>12.17474342163486</v>
      </c>
      <c r="AL155" s="19"/>
      <c r="AM155" s="57"/>
      <c r="AN155" s="2"/>
      <c r="AO155" s="2"/>
      <c r="AP155" s="63"/>
      <c r="AQ155" s="68"/>
      <c r="AR155" s="21"/>
      <c r="AS155" s="21"/>
      <c r="AT155" s="21"/>
      <c r="AU155" s="25"/>
      <c r="AV155" s="21"/>
      <c r="AW155" s="22"/>
      <c r="AX155" s="2"/>
      <c r="AY155" s="23"/>
      <c r="AZ155" s="19"/>
      <c r="BA155" s="19"/>
      <c r="BB155" s="19"/>
      <c r="BC155" s="24"/>
      <c r="BD155" s="30"/>
      <c r="BG155" s="77" t="s">
        <v>78</v>
      </c>
      <c r="BH155" s="52">
        <f t="shared" ref="BH155:BN155" si="45">SUM(BH151:BH153)</f>
        <v>2985.8626584000003</v>
      </c>
      <c r="BI155" s="52">
        <f t="shared" si="45"/>
        <v>4005.0901856089999</v>
      </c>
      <c r="BJ155" s="52">
        <f t="shared" si="45"/>
        <v>4038.5843560409994</v>
      </c>
      <c r="BK155" s="74">
        <f t="shared" si="45"/>
        <v>11029.537200049999</v>
      </c>
      <c r="BL155" s="76">
        <f t="shared" si="45"/>
        <v>2.130116868618412</v>
      </c>
      <c r="BM155" s="81">
        <f t="shared" si="45"/>
        <v>13796.295956550459</v>
      </c>
      <c r="BN155" s="76">
        <f t="shared" si="45"/>
        <v>2.6647333075847905</v>
      </c>
    </row>
    <row r="156" spans="1:80">
      <c r="A156" s="699"/>
      <c r="B156" s="23"/>
      <c r="C156" s="17" t="s">
        <v>21</v>
      </c>
      <c r="D156" s="57"/>
      <c r="E156" s="2"/>
      <c r="F156" s="2"/>
      <c r="G156" s="63"/>
      <c r="H156" s="2"/>
      <c r="I156" s="20"/>
      <c r="J156" s="21"/>
      <c r="K156" s="21"/>
      <c r="L156" s="22"/>
      <c r="M156" s="212"/>
      <c r="N156" s="23"/>
      <c r="O156" s="19"/>
      <c r="P156" s="19"/>
      <c r="Q156" s="19"/>
      <c r="R156" s="33"/>
      <c r="T156" s="201">
        <f>SUMIF([2]VIC!$D$75:$D$108,$C156,[2]VIC!K$75:K$108)</f>
        <v>4146</v>
      </c>
      <c r="U156" s="198">
        <f>SUMIF([2]VIC!$D$75:$D$108,$C156,[2]VIC!L$75:L$108)</f>
        <v>74147</v>
      </c>
      <c r="V156" s="198">
        <f>SUMIF([2]VIC!$D$75:$D$108,$C156,[2]VIC!M$75:M$108)</f>
        <v>1820</v>
      </c>
      <c r="W156" s="63"/>
      <c r="X156" s="2"/>
      <c r="Y156" s="2"/>
      <c r="Z156" s="2"/>
      <c r="AA156" s="68"/>
      <c r="AB156" s="21"/>
      <c r="AC156" s="21"/>
      <c r="AD156" s="21"/>
      <c r="AE156" s="21"/>
      <c r="AF156" s="355"/>
      <c r="AG156" s="20">
        <f t="shared" si="43"/>
        <v>4146</v>
      </c>
      <c r="AH156" s="21">
        <f t="shared" si="43"/>
        <v>74147</v>
      </c>
      <c r="AI156" s="21">
        <f t="shared" si="43"/>
        <v>1820</v>
      </c>
      <c r="AJ156" s="21">
        <f>SUM(AG156:AI156)</f>
        <v>80113</v>
      </c>
      <c r="AK156" s="29">
        <f>AJ156/[2]Popn!$H$40*1000</f>
        <v>15.480108872624209</v>
      </c>
      <c r="AL156" s="19"/>
      <c r="AM156" s="57"/>
      <c r="AN156" s="2"/>
      <c r="AO156" s="2"/>
      <c r="AP156" s="63"/>
      <c r="AQ156" s="68"/>
      <c r="AR156" s="21"/>
      <c r="AS156" s="21"/>
      <c r="AT156" s="21"/>
      <c r="AU156" s="25"/>
      <c r="AV156" s="21"/>
      <c r="AW156" s="22"/>
      <c r="AX156" s="2"/>
      <c r="AY156" s="23"/>
      <c r="AZ156" s="19"/>
      <c r="BA156" s="19"/>
      <c r="BB156" s="19"/>
      <c r="BC156" s="24"/>
      <c r="BD156" s="30"/>
    </row>
    <row r="157" spans="1:80" s="106" customFormat="1">
      <c r="A157" s="699"/>
      <c r="B157" s="107" t="s">
        <v>67</v>
      </c>
      <c r="C157" s="108"/>
      <c r="D157" s="109"/>
      <c r="E157" s="110"/>
      <c r="F157" s="110"/>
      <c r="G157" s="111"/>
      <c r="H157" s="110"/>
      <c r="I157" s="112">
        <f>D191*[2]VIC!K$22/(1-[2]VIC!$K$25)</f>
        <v>41663.068082007994</v>
      </c>
      <c r="J157" s="113">
        <f>E191*[2]VIC!L$31*[2]VIC!L$22/(1-[2]VIC!$L$25)</f>
        <v>37158.407256023253</v>
      </c>
      <c r="K157" s="113">
        <f>E191*[2]VIC!M$31*[2]VIC!M$22/(1-[2]VIC!$M$25)</f>
        <v>10727.897980574335</v>
      </c>
      <c r="L157" s="114">
        <f>SUM(I157:K157)</f>
        <v>89549.373318605576</v>
      </c>
      <c r="M157" s="562"/>
      <c r="N157" s="112">
        <f t="shared" ref="N157:P161" si="46">I157-AU157</f>
        <v>41663.068082007994</v>
      </c>
      <c r="O157" s="113">
        <f t="shared" si="46"/>
        <v>37158.407256023253</v>
      </c>
      <c r="P157" s="113">
        <f t="shared" si="46"/>
        <v>10727.897980574335</v>
      </c>
      <c r="Q157" s="113">
        <f>SUM(N157:P157)</f>
        <v>89549.373318605576</v>
      </c>
      <c r="R157" s="115">
        <f>Q157/[2]Popn!$H$40*1000</f>
        <v>17.303484433828263</v>
      </c>
      <c r="T157" s="201"/>
      <c r="U157" s="198"/>
      <c r="V157" s="198"/>
      <c r="W157" s="111"/>
      <c r="X157" s="110"/>
      <c r="Y157" s="110"/>
      <c r="Z157" s="110"/>
      <c r="AA157" s="116"/>
      <c r="AB157" s="113"/>
      <c r="AC157" s="113"/>
      <c r="AD157" s="113"/>
      <c r="AE157" s="113"/>
      <c r="AF157" s="567"/>
      <c r="AG157" s="112">
        <f>SUM(AG154:AG156)</f>
        <v>199338</v>
      </c>
      <c r="AH157" s="113">
        <f>SUM(AH154:AH156)</f>
        <v>946834</v>
      </c>
      <c r="AI157" s="113">
        <f>SUM(AI154:AI156)</f>
        <v>114175</v>
      </c>
      <c r="AJ157" s="113">
        <f>SUM(AJ154:AJ156)</f>
        <v>1260347</v>
      </c>
      <c r="AK157" s="118">
        <f>SUM(AK154:AK156)</f>
        <v>243.53486671682879</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U157" s="6"/>
      <c r="BV157" s="6"/>
      <c r="BW157" s="6"/>
      <c r="BX157" s="6"/>
      <c r="BY157" s="6"/>
      <c r="BZ157" s="6"/>
      <c r="CA157" s="6"/>
      <c r="CB157" s="6"/>
    </row>
    <row r="158" spans="1:80">
      <c r="A158" s="699"/>
      <c r="B158" s="23" t="s">
        <v>2</v>
      </c>
      <c r="C158" s="17" t="s">
        <v>22</v>
      </c>
      <c r="D158" s="57"/>
      <c r="E158" s="2"/>
      <c r="F158" s="2"/>
      <c r="G158" s="63"/>
      <c r="H158" s="2"/>
      <c r="I158" s="20">
        <f>D191*[2]VIC!K$14/(1-[2]VIC!$K$25)</f>
        <v>807695.73593661853</v>
      </c>
      <c r="J158" s="21">
        <f>E191*[2]VIC!L$31*[2]VIC!L$14/(1-[2]VIC!$L$25)</f>
        <v>390436.49977100902</v>
      </c>
      <c r="K158" s="21">
        <f>E191*[2]VIC!M$31*[2]VIC!M$14/(1-[2]VIC!$M$25)</f>
        <v>0</v>
      </c>
      <c r="L158" s="22">
        <f>SUM(I158:K158)</f>
        <v>1198132.2357076276</v>
      </c>
      <c r="M158" s="212"/>
      <c r="N158" s="20">
        <f t="shared" si="46"/>
        <v>669078.39151728631</v>
      </c>
      <c r="O158" s="21">
        <f t="shared" si="46"/>
        <v>345265.1329137673</v>
      </c>
      <c r="P158" s="21">
        <f t="shared" si="46"/>
        <v>0</v>
      </c>
      <c r="Q158" s="21">
        <f>SUM(N158:P158)</f>
        <v>1014343.5244310535</v>
      </c>
      <c r="R158" s="34">
        <f>Q158/[2]Popn!$H$40*1000</f>
        <v>196.00000240203292</v>
      </c>
      <c r="T158" s="201">
        <f>SUMIF([2]VIC!$D$75:$D$108,$C158,[2]VIC!K$75:K$108)</f>
        <v>0</v>
      </c>
      <c r="U158" s="198">
        <f>SUMIF([2]VIC!$D$75:$D$108,$C158,[2]VIC!L$75:L$108)</f>
        <v>35473</v>
      </c>
      <c r="V158" s="198">
        <f>SUMIF([2]VIC!$D$75:$D$108,$C158,[2]VIC!M$75:M$108)</f>
        <v>0</v>
      </c>
      <c r="W158" s="63"/>
      <c r="X158" s="2"/>
      <c r="Y158" s="2"/>
      <c r="Z158" s="2"/>
      <c r="AA158" s="68"/>
      <c r="AB158" s="21"/>
      <c r="AC158" s="21"/>
      <c r="AD158" s="21"/>
      <c r="AE158" s="21"/>
      <c r="AF158" s="355"/>
      <c r="AG158" s="20">
        <f t="shared" ref="AG158:AI161" si="47">T158</f>
        <v>0</v>
      </c>
      <c r="AH158" s="21">
        <f t="shared" si="47"/>
        <v>35473</v>
      </c>
      <c r="AI158" s="21">
        <f t="shared" si="47"/>
        <v>0</v>
      </c>
      <c r="AJ158" s="21">
        <f>SUM(AG158:AI158)</f>
        <v>35473</v>
      </c>
      <c r="AK158" s="29">
        <f>AJ158/[2]Popn!$H$40*1000</f>
        <v>6.8543919468575449</v>
      </c>
      <c r="AL158" s="19"/>
      <c r="AM158" s="57"/>
      <c r="AN158" s="2"/>
      <c r="AO158" s="2"/>
      <c r="AP158" s="63"/>
      <c r="AQ158" s="70"/>
      <c r="AR158" s="21">
        <f>L158*'[2]Lfill en &amp; composn'!$D$16</f>
        <v>150964.66169916108</v>
      </c>
      <c r="AS158" s="35">
        <f>AR158/SUM($AR$148:$AR$190)</f>
        <v>0.42902040022571736</v>
      </c>
      <c r="AT158" s="21">
        <f>AS158*'[2]Lfill en &amp; composn'!$H$60/'[2]Lfill en &amp; composn'!$B$16</f>
        <v>205624.34761946238</v>
      </c>
      <c r="AU158" s="25">
        <f t="shared" ref="AU158:AW162" si="48">AT158*I158/$L158</f>
        <v>138617.34441933222</v>
      </c>
      <c r="AV158" s="21">
        <f t="shared" si="48"/>
        <v>45171.366857241745</v>
      </c>
      <c r="AW158" s="22">
        <f t="shared" si="48"/>
        <v>0</v>
      </c>
      <c r="AX158" s="82"/>
      <c r="AY158" s="20">
        <f>AU158</f>
        <v>138617.34441933222</v>
      </c>
      <c r="AZ158" s="21">
        <f>AN158+AQ158+AV158</f>
        <v>45171.366857241745</v>
      </c>
      <c r="BA158" s="21">
        <f>AW158</f>
        <v>0</v>
      </c>
      <c r="BB158" s="21">
        <f>SUM(AY158:BA158)</f>
        <v>183788.71127657397</v>
      </c>
      <c r="BC158" s="29">
        <f>BB158/[2]Popn!$H$40*1000</f>
        <v>35.513203351773889</v>
      </c>
      <c r="BD158" s="30"/>
      <c r="BU158" s="106"/>
      <c r="BV158" s="106"/>
      <c r="BW158" s="106"/>
      <c r="BX158" s="106"/>
      <c r="BY158" s="106"/>
      <c r="BZ158" s="106"/>
      <c r="CA158" s="106"/>
      <c r="CB158" s="106"/>
    </row>
    <row r="159" spans="1:80">
      <c r="A159" s="699"/>
      <c r="B159" s="23"/>
      <c r="C159" s="17" t="s">
        <v>23</v>
      </c>
      <c r="D159" s="57"/>
      <c r="E159" s="2"/>
      <c r="F159" s="2"/>
      <c r="G159" s="63"/>
      <c r="H159" s="2"/>
      <c r="I159" s="20">
        <f>D191*[2]VIC!K$15/(1-[2]VIC!$K$25)</f>
        <v>177386.90883856954</v>
      </c>
      <c r="J159" s="21">
        <f>E191*[2]VIC!L$31*[2]VIC!L$15/(1-[2]VIC!$L$25)</f>
        <v>72404.249432692362</v>
      </c>
      <c r="K159" s="21">
        <f>E191*[2]VIC!M$31*[2]VIC!M$15/(1-[2]VIC!$M$25)</f>
        <v>25615.593137289739</v>
      </c>
      <c r="L159" s="22">
        <f>SUM(I159:K159)</f>
        <v>275406.75140855164</v>
      </c>
      <c r="M159" s="212"/>
      <c r="N159" s="20">
        <f t="shared" si="46"/>
        <v>160353.172444956</v>
      </c>
      <c r="O159" s="21">
        <f t="shared" si="46"/>
        <v>67926.091608651346</v>
      </c>
      <c r="P159" s="21">
        <f t="shared" si="46"/>
        <v>25199.079496144328</v>
      </c>
      <c r="Q159" s="21">
        <f>SUM(N159:P159)</f>
        <v>253478.34354975168</v>
      </c>
      <c r="R159" s="34">
        <f>Q159/[2]Popn!$H$40*1000</f>
        <v>48.979221287463929</v>
      </c>
      <c r="T159" s="201">
        <f>SUMIF([2]VIC!$D$75:$D$108,$C159,[2]VIC!K$75:K$108)</f>
        <v>279123</v>
      </c>
      <c r="U159" s="198">
        <f>SUMIF([2]VIC!$D$75:$D$108,$C159,[2]VIC!L$75:L$108)</f>
        <v>22962</v>
      </c>
      <c r="V159" s="198">
        <f>SUMIF([2]VIC!$D$75:$D$108,$C159,[2]VIC!M$75:M$108)</f>
        <v>0</v>
      </c>
      <c r="W159" s="63"/>
      <c r="X159" s="2"/>
      <c r="Y159" s="2"/>
      <c r="Z159" s="2"/>
      <c r="AA159" s="68"/>
      <c r="AB159" s="21"/>
      <c r="AC159" s="21"/>
      <c r="AD159" s="21"/>
      <c r="AE159" s="21"/>
      <c r="AF159" s="355"/>
      <c r="AG159" s="20">
        <f t="shared" si="47"/>
        <v>279123</v>
      </c>
      <c r="AH159" s="21">
        <f t="shared" si="47"/>
        <v>22962</v>
      </c>
      <c r="AI159" s="21">
        <f t="shared" si="47"/>
        <v>0</v>
      </c>
      <c r="AJ159" s="21">
        <f>SUM(AG159:AI159)</f>
        <v>302085</v>
      </c>
      <c r="AK159" s="29">
        <f>AJ159/[2]Popn!$H$40*1000</f>
        <v>58.371408994628638</v>
      </c>
      <c r="AL159" s="19"/>
      <c r="AM159" s="57"/>
      <c r="AN159" s="2"/>
      <c r="AO159" s="2"/>
      <c r="AP159" s="63"/>
      <c r="AQ159" s="68"/>
      <c r="AR159" s="21">
        <f>L159*'[2]Lfill en &amp; composn'!$D$18</f>
        <v>25888.234632403855</v>
      </c>
      <c r="AS159" s="35">
        <f>AR159/SUM($AR$148:$AR$190)</f>
        <v>7.3570732767010857E-2</v>
      </c>
      <c r="AT159" s="21">
        <f>AS159*'[2]Lfill en &amp; composn'!$H$60/'[2]Lfill en &amp; composn'!$B$18</f>
        <v>26446.179344519391</v>
      </c>
      <c r="AU159" s="25">
        <f t="shared" si="48"/>
        <v>17033.736393613533</v>
      </c>
      <c r="AV159" s="21">
        <f t="shared" si="48"/>
        <v>4478.1578240410136</v>
      </c>
      <c r="AW159" s="22">
        <f t="shared" si="48"/>
        <v>416.51364114541263</v>
      </c>
      <c r="AX159" s="2"/>
      <c r="AY159" s="20">
        <f>AU159</f>
        <v>17033.736393613533</v>
      </c>
      <c r="AZ159" s="21">
        <f>AN159+AQ159+AV159</f>
        <v>4478.1578240410136</v>
      </c>
      <c r="BA159" s="21">
        <f>AW159</f>
        <v>416.51364114541263</v>
      </c>
      <c r="BB159" s="21">
        <f>SUM(AY159:BA159)</f>
        <v>21928.407858799957</v>
      </c>
      <c r="BC159" s="29">
        <f>BB159/[2]Popn!$H$40*1000</f>
        <v>4.237191729900661</v>
      </c>
      <c r="BD159" s="36"/>
    </row>
    <row r="160" spans="1:80">
      <c r="A160" s="699"/>
      <c r="B160" s="23"/>
      <c r="C160" s="17" t="s">
        <v>24</v>
      </c>
      <c r="D160" s="57"/>
      <c r="E160" s="2"/>
      <c r="F160" s="2"/>
      <c r="G160" s="63"/>
      <c r="H160" s="2"/>
      <c r="I160" s="20">
        <f>D191*[2]VIC!K$16/(1-[2]VIC!$K$25)</f>
        <v>13097.624641147147</v>
      </c>
      <c r="J160" s="21">
        <f>E191*[2]VIC!L$31*[2]VIC!L$16/(1-[2]VIC!$L$25)</f>
        <v>171584.40997634266</v>
      </c>
      <c r="K160" s="21">
        <f>E191*[2]VIC!M$31*[2]VIC!M$16/(1-[2]VIC!$M$25)</f>
        <v>103119.18262960228</v>
      </c>
      <c r="L160" s="22">
        <f>SUM(I160:K160)</f>
        <v>287801.21724709211</v>
      </c>
      <c r="M160" s="212"/>
      <c r="N160" s="20">
        <f t="shared" si="46"/>
        <v>12482.148992938328</v>
      </c>
      <c r="O160" s="21">
        <f t="shared" si="46"/>
        <v>171217.46911708268</v>
      </c>
      <c r="P160" s="21">
        <f t="shared" si="46"/>
        <v>102987.70771145484</v>
      </c>
      <c r="Q160" s="21">
        <f>SUM(N160:P160)</f>
        <v>286687.32582147588</v>
      </c>
      <c r="R160" s="34">
        <f>Q160/[2]Popn!$H$40*1000</f>
        <v>55.396140652802124</v>
      </c>
      <c r="T160" s="201">
        <f>SUMIF([2]VIC!$D$75:$D$108,$C160,[2]VIC!K$75:K$108)</f>
        <v>4641</v>
      </c>
      <c r="U160" s="198">
        <f>SUMIF([2]VIC!$D$75:$D$108,$C160,[2]VIC!L$75:L$108)</f>
        <v>307714</v>
      </c>
      <c r="V160" s="198">
        <f>SUMIF([2]VIC!$D$75:$D$108,$C160,[2]VIC!M$75:M$108)</f>
        <v>27622</v>
      </c>
      <c r="W160" s="63"/>
      <c r="X160" s="2"/>
      <c r="Y160" s="2"/>
      <c r="Z160" s="2"/>
      <c r="AA160" s="68"/>
      <c r="AB160" s="21"/>
      <c r="AC160" s="21"/>
      <c r="AD160" s="21"/>
      <c r="AE160" s="21"/>
      <c r="AF160" s="355"/>
      <c r="AG160" s="20">
        <f t="shared" si="47"/>
        <v>4641</v>
      </c>
      <c r="AH160" s="21">
        <f t="shared" si="47"/>
        <v>307714</v>
      </c>
      <c r="AI160" s="21">
        <f t="shared" si="47"/>
        <v>27622</v>
      </c>
      <c r="AJ160" s="21">
        <f>SUM(AG160:AI160)</f>
        <v>339977</v>
      </c>
      <c r="AK160" s="29">
        <f>AJ160/[2]Popn!$H$40*1000</f>
        <v>65.693220503390961</v>
      </c>
      <c r="AL160" s="19"/>
      <c r="AM160" s="57"/>
      <c r="AN160" s="2"/>
      <c r="AO160" s="2"/>
      <c r="AP160" s="63"/>
      <c r="AQ160" s="70"/>
      <c r="AR160" s="21">
        <f>L160*'[2]Lfill en &amp; composn'!$D$19</f>
        <v>28463.540385737411</v>
      </c>
      <c r="AS160" s="35">
        <f>AR160/SUM($AR$148:$AR$190)</f>
        <v>8.0889390607615255E-2</v>
      </c>
      <c r="AT160" s="21">
        <f>AS160*'[2]Lfill en &amp; composn'!$H$60/'[2]Lfill en &amp; composn'!$B$19</f>
        <v>13524.18057423635</v>
      </c>
      <c r="AU160" s="25">
        <f t="shared" si="48"/>
        <v>615.47564820882053</v>
      </c>
      <c r="AV160" s="21">
        <f t="shared" si="48"/>
        <v>366.94085925998473</v>
      </c>
      <c r="AW160" s="22">
        <f t="shared" si="48"/>
        <v>131.47491814743486</v>
      </c>
      <c r="AX160" s="2"/>
      <c r="AY160" s="20">
        <f>AU160</f>
        <v>615.47564820882053</v>
      </c>
      <c r="AZ160" s="21">
        <f>AN160+AQ160+AV160</f>
        <v>366.94085925998473</v>
      </c>
      <c r="BA160" s="21">
        <f>AW160</f>
        <v>131.47491814743486</v>
      </c>
      <c r="BB160" s="21">
        <f>SUM(AY160:BA160)</f>
        <v>1113.8914256162402</v>
      </c>
      <c r="BC160" s="29">
        <f>BB160/[2]Popn!$H$40*1000</f>
        <v>0.21523548663540235</v>
      </c>
    </row>
    <row r="161" spans="1:80">
      <c r="A161" s="699"/>
      <c r="B161" s="23"/>
      <c r="C161" s="17" t="s">
        <v>25</v>
      </c>
      <c r="D161" s="57"/>
      <c r="E161" s="2"/>
      <c r="F161" s="2"/>
      <c r="G161" s="63"/>
      <c r="H161" s="2"/>
      <c r="I161" s="20">
        <f>D191*[2]VIC!K$18/(1-[2]VIC!$K$25)</f>
        <v>970.19441786275183</v>
      </c>
      <c r="J161" s="21">
        <f>E191*[2]VIC!L$31*[2]VIC!L$18/(1-[2]VIC!$L$25)</f>
        <v>154644.54784492031</v>
      </c>
      <c r="K161" s="21">
        <f>E191*[2]VIC!M$31*[2]VIC!M$18/(1-[2]VIC!$M$25)</f>
        <v>218.93669348110888</v>
      </c>
      <c r="L161" s="22">
        <f>SUM(I161:K161)</f>
        <v>155833.67895626416</v>
      </c>
      <c r="M161" s="212"/>
      <c r="N161" s="20">
        <f t="shared" si="46"/>
        <v>871.0840075231672</v>
      </c>
      <c r="O161" s="21">
        <f t="shared" si="46"/>
        <v>154546.19372342137</v>
      </c>
      <c r="P161" s="21">
        <f t="shared" si="46"/>
        <v>218.79851201548834</v>
      </c>
      <c r="Q161" s="21">
        <f>SUM(N161:P161)</f>
        <v>155636.07624296003</v>
      </c>
      <c r="R161" s="34">
        <f>Q161/[2]Popn!$H$40*1000</f>
        <v>30.073314003333582</v>
      </c>
      <c r="T161" s="201">
        <f>SUMIF([2]VIC!$D$75:$D$108,$C161,[2]VIC!K$75:K$108)</f>
        <v>500</v>
      </c>
      <c r="U161" s="198">
        <f>SUMIF([2]VIC!$D$75:$D$108,$C161,[2]VIC!L$75:L$108)</f>
        <v>76430</v>
      </c>
      <c r="V161" s="198">
        <f>SUMIF([2]VIC!$D$75:$D$108,$C161,[2]VIC!M$75:M$108)</f>
        <v>0</v>
      </c>
      <c r="W161" s="63"/>
      <c r="X161" s="2"/>
      <c r="Y161" s="2"/>
      <c r="Z161" s="2"/>
      <c r="AA161" s="68"/>
      <c r="AB161" s="21"/>
      <c r="AC161" s="21"/>
      <c r="AD161" s="21"/>
      <c r="AE161" s="21"/>
      <c r="AF161" s="355"/>
      <c r="AG161" s="20">
        <f t="shared" si="47"/>
        <v>500</v>
      </c>
      <c r="AH161" s="21">
        <f t="shared" si="47"/>
        <v>76430</v>
      </c>
      <c r="AI161" s="21">
        <f t="shared" si="47"/>
        <v>0</v>
      </c>
      <c r="AJ161" s="21">
        <f>SUM(AG161:AI161)</f>
        <v>76930</v>
      </c>
      <c r="AK161" s="29">
        <f>AJ161/[2]Popn!$H$40*1000</f>
        <v>14.865062793441517</v>
      </c>
      <c r="AL161" s="19"/>
      <c r="AM161" s="57"/>
      <c r="AN161" s="2"/>
      <c r="AO161" s="2"/>
      <c r="AP161" s="63"/>
      <c r="AQ161" s="68"/>
      <c r="AR161" s="21">
        <f>L161*'[2]Lfill en &amp; composn'!$D$24</f>
        <v>18700.041474751699</v>
      </c>
      <c r="AS161" s="35">
        <f>AR161/SUM($AR$148:$AR$190)</f>
        <v>5.3142895744190385E-2</v>
      </c>
      <c r="AT161" s="21">
        <f>AS161*'[2]Lfill en &amp; composn'!$H$60/'[2]Lfill en &amp; composn'!$B$24</f>
        <v>15919.221530985267</v>
      </c>
      <c r="AU161" s="25">
        <f t="shared" si="48"/>
        <v>99.110410339584632</v>
      </c>
      <c r="AV161" s="21">
        <f t="shared" si="48"/>
        <v>98.354121498929501</v>
      </c>
      <c r="AW161" s="22">
        <f t="shared" si="48"/>
        <v>0.1381814656205245</v>
      </c>
      <c r="AX161" s="83"/>
      <c r="AY161" s="20">
        <f>AU161</f>
        <v>99.110410339584632</v>
      </c>
      <c r="AZ161" s="21">
        <f>AN161+AQ161+AV161</f>
        <v>98.354121498929501</v>
      </c>
      <c r="BA161" s="21">
        <f>AW161</f>
        <v>0.1381814656205245</v>
      </c>
      <c r="BB161" s="21">
        <f>SUM(AY161:BA161)</f>
        <v>197.60271330413465</v>
      </c>
      <c r="BC161" s="29">
        <f>BB161/[2]Popn!$H$40*1000</f>
        <v>3.8182461216955454E-2</v>
      </c>
    </row>
    <row r="162" spans="1:80">
      <c r="A162" s="699"/>
      <c r="B162" s="23"/>
      <c r="C162" s="17" t="s">
        <v>0</v>
      </c>
      <c r="D162" s="57"/>
      <c r="E162" s="2"/>
      <c r="F162" s="2"/>
      <c r="G162" s="63"/>
      <c r="H162" s="198">
        <f>[2]Biosolids!$H$201</f>
        <v>0</v>
      </c>
      <c r="I162" s="20"/>
      <c r="J162" s="21"/>
      <c r="K162" s="21"/>
      <c r="L162" s="22"/>
      <c r="M162" s="212"/>
      <c r="N162" s="23"/>
      <c r="O162" s="19"/>
      <c r="P162" s="19"/>
      <c r="Q162" s="19"/>
      <c r="R162" s="34"/>
      <c r="T162" s="201"/>
      <c r="U162" s="198"/>
      <c r="V162" s="198"/>
      <c r="W162" s="63"/>
      <c r="X162" s="2"/>
      <c r="Y162" s="2"/>
      <c r="Z162" s="2"/>
      <c r="AA162" s="70">
        <f>[2]Biosolids!$H$200</f>
        <v>1800</v>
      </c>
      <c r="AB162" s="21"/>
      <c r="AC162" s="21"/>
      <c r="AD162" s="21"/>
      <c r="AE162" s="21"/>
      <c r="AF162" s="355" t="s">
        <v>196</v>
      </c>
      <c r="AG162" s="20">
        <f>AA162</f>
        <v>1800</v>
      </c>
      <c r="AH162" s="21"/>
      <c r="AI162" s="21"/>
      <c r="AJ162" s="21">
        <f>SUM(AG162:AI162)</f>
        <v>1800</v>
      </c>
      <c r="AK162" s="29">
        <f>AJ162/[2]Popn!$H$40*1000</f>
        <v>0.34781116636155895</v>
      </c>
      <c r="AL162" s="19"/>
      <c r="AM162" s="57"/>
      <c r="AN162" s="2"/>
      <c r="AO162" s="2"/>
      <c r="AP162" s="63"/>
      <c r="AQ162" s="68"/>
      <c r="AR162" s="21"/>
      <c r="AS162" s="21"/>
      <c r="AT162" s="21">
        <f>AS162*'[2]Lfill en &amp; composn'!$H$60/'[2]Lfill en &amp; composn'!$B$21</f>
        <v>0</v>
      </c>
      <c r="AU162" s="25" t="e">
        <f t="shared" si="48"/>
        <v>#DIV/0!</v>
      </c>
      <c r="AV162" s="21" t="e">
        <f t="shared" si="48"/>
        <v>#DIV/0!</v>
      </c>
      <c r="AW162" s="22" t="e">
        <f t="shared" si="48"/>
        <v>#DIV/0!</v>
      </c>
      <c r="AX162" s="2"/>
      <c r="AY162" s="23"/>
      <c r="AZ162" s="19"/>
      <c r="BA162" s="19"/>
      <c r="BB162" s="19"/>
      <c r="BC162" s="24"/>
    </row>
    <row r="163" spans="1:80" s="106" customFormat="1" ht="25.5">
      <c r="A163" s="699"/>
      <c r="B163" s="107" t="s">
        <v>67</v>
      </c>
      <c r="C163" s="108"/>
      <c r="D163" s="109"/>
      <c r="E163" s="110"/>
      <c r="F163" s="110"/>
      <c r="G163" s="111"/>
      <c r="H163" s="110"/>
      <c r="I163" s="112">
        <f>SUM(I158:I162)</f>
        <v>999150.46383419796</v>
      </c>
      <c r="J163" s="113">
        <f>SUM(J158:J162)</f>
        <v>789069.70702496439</v>
      </c>
      <c r="K163" s="113">
        <f>SUM(K158:K162)</f>
        <v>128953.71246037312</v>
      </c>
      <c r="L163" s="114">
        <f>SUM(L158:L162)</f>
        <v>1917173.8833195355</v>
      </c>
      <c r="M163" s="562"/>
      <c r="N163" s="112">
        <f>SUM(N158:N162)</f>
        <v>842784.79696270381</v>
      </c>
      <c r="O163" s="113">
        <f>SUM(O158:O162)</f>
        <v>738954.88736292277</v>
      </c>
      <c r="P163" s="113">
        <f>SUM(P158:P162)</f>
        <v>128405.58571961467</v>
      </c>
      <c r="Q163" s="114">
        <f>SUM(Q158:Q162)</f>
        <v>1710145.2700452411</v>
      </c>
      <c r="R163" s="115">
        <f>SUM(R158:R162)</f>
        <v>330.44867834563252</v>
      </c>
      <c r="T163" s="201"/>
      <c r="U163" s="198"/>
      <c r="V163" s="198"/>
      <c r="W163" s="111"/>
      <c r="X163" s="110"/>
      <c r="Y163" s="110"/>
      <c r="Z163" s="110"/>
      <c r="AA163" s="116"/>
      <c r="AB163" s="113"/>
      <c r="AC163" s="113"/>
      <c r="AD163" s="113"/>
      <c r="AE163" s="113"/>
      <c r="AF163" s="567"/>
      <c r="AG163" s="112">
        <f>SUM(AG158:AG162)</f>
        <v>286064</v>
      </c>
      <c r="AH163" s="113">
        <f>SUM(AH158:AH162)</f>
        <v>442579</v>
      </c>
      <c r="AI163" s="113">
        <f>SUM(AI158:AI162)</f>
        <v>27622</v>
      </c>
      <c r="AJ163" s="113">
        <f>SUM(AJ158:AJ162)</f>
        <v>756265</v>
      </c>
      <c r="AK163" s="118">
        <f>SUM(AK158:AK162)</f>
        <v>146.13189540468025</v>
      </c>
      <c r="AL163" s="119"/>
      <c r="AM163" s="109"/>
      <c r="AN163" s="110"/>
      <c r="AO163" s="110"/>
      <c r="AP163" s="111"/>
      <c r="AQ163" s="116"/>
      <c r="AR163" s="113"/>
      <c r="AS163" s="113"/>
      <c r="AT163" s="113"/>
      <c r="AU163" s="120"/>
      <c r="AV163" s="113"/>
      <c r="AW163" s="114"/>
      <c r="AX163" s="110"/>
      <c r="AY163" s="112">
        <f>SUM(AY158:AY162)</f>
        <v>156365.66687149415</v>
      </c>
      <c r="AZ163" s="113">
        <f>SUM(AZ158:AZ162)</f>
        <v>50114.819662041678</v>
      </c>
      <c r="BA163" s="113">
        <f>SUM(BA158:BA162)</f>
        <v>548.12674075846803</v>
      </c>
      <c r="BB163" s="114">
        <f>SUM(BB158:BB162)</f>
        <v>207028.61327429433</v>
      </c>
      <c r="BC163" s="118">
        <f>SUM(BC158:BC162)</f>
        <v>40.003813029526903</v>
      </c>
      <c r="BD163" s="122"/>
      <c r="BG163" s="146"/>
      <c r="BH163" s="138" t="s">
        <v>72</v>
      </c>
      <c r="BI163" s="138" t="s">
        <v>68</v>
      </c>
      <c r="BJ163" s="138" t="s">
        <v>69</v>
      </c>
      <c r="BK163" s="138" t="s">
        <v>73</v>
      </c>
      <c r="BL163" s="138" t="s">
        <v>78</v>
      </c>
      <c r="BM163" s="6"/>
      <c r="BN163" s="6"/>
      <c r="BO163" s="6"/>
      <c r="BU163" s="6"/>
      <c r="BV163" s="6"/>
      <c r="BW163" s="6"/>
      <c r="BX163" s="6"/>
      <c r="BY163" s="6"/>
      <c r="BZ163" s="6"/>
      <c r="CA163" s="6"/>
      <c r="CB163" s="6"/>
    </row>
    <row r="164" spans="1:80">
      <c r="A164" s="699"/>
      <c r="B164" s="23" t="s">
        <v>5</v>
      </c>
      <c r="C164" s="17" t="s">
        <v>26</v>
      </c>
      <c r="D164" s="57"/>
      <c r="E164" s="2"/>
      <c r="F164" s="2"/>
      <c r="G164" s="63"/>
      <c r="H164" s="2"/>
      <c r="I164" s="20"/>
      <c r="J164" s="21"/>
      <c r="K164" s="21"/>
      <c r="L164" s="22"/>
      <c r="M164" s="212"/>
      <c r="N164" s="23"/>
      <c r="O164" s="19"/>
      <c r="P164" s="19"/>
      <c r="Q164" s="19"/>
      <c r="R164" s="33"/>
      <c r="T164" s="201">
        <f>SUMIF([2]VIC!$D$75:$D$108,$C164,[2]VIC!K$75:K$108)</f>
        <v>83585</v>
      </c>
      <c r="U164" s="198">
        <f>SUMIF([2]VIC!$D$75:$D$108,$C164,[2]VIC!L$75:L$108)</f>
        <v>364660.5</v>
      </c>
      <c r="V164" s="198">
        <f>SUMIF([2]VIC!$D$75:$D$108,$C164,[2]VIC!M$75:M$108)</f>
        <v>0</v>
      </c>
      <c r="W164" s="63"/>
      <c r="X164" s="2"/>
      <c r="Y164" s="2"/>
      <c r="Z164" s="2"/>
      <c r="AA164" s="68"/>
      <c r="AB164" s="21"/>
      <c r="AC164" s="21"/>
      <c r="AD164" s="21"/>
      <c r="AE164" s="21"/>
      <c r="AF164" s="355"/>
      <c r="AG164" s="20">
        <f t="shared" ref="AG164:AI167" si="49">T164</f>
        <v>83585</v>
      </c>
      <c r="AH164" s="21">
        <f t="shared" si="49"/>
        <v>364660.5</v>
      </c>
      <c r="AI164" s="21">
        <f t="shared" si="49"/>
        <v>0</v>
      </c>
      <c r="AJ164" s="21">
        <f>SUM(AG164:AI164)</f>
        <v>448245.5</v>
      </c>
      <c r="AK164" s="29">
        <f>AJ164/[2]Popn!$H$40*1000</f>
        <v>86.613772317400091</v>
      </c>
      <c r="AL164" s="19"/>
      <c r="AM164" s="57"/>
      <c r="AN164" s="2"/>
      <c r="AO164" s="2"/>
      <c r="AP164" s="63"/>
      <c r="AQ164" s="68"/>
      <c r="AR164" s="21"/>
      <c r="AS164" s="21"/>
      <c r="AT164" s="21"/>
      <c r="AU164" s="25"/>
      <c r="AV164" s="21"/>
      <c r="AW164" s="22"/>
      <c r="AX164" s="2"/>
      <c r="AY164" s="23"/>
      <c r="AZ164" s="19"/>
      <c r="BA164" s="19"/>
      <c r="BB164" s="19"/>
      <c r="BC164" s="24"/>
      <c r="BG164" s="147" t="s">
        <v>3</v>
      </c>
      <c r="BH164" s="52">
        <f>Q153/1000</f>
        <v>1253.871886165143</v>
      </c>
      <c r="BI164" s="52">
        <f>AJ153/1000</f>
        <v>2665.4810000000002</v>
      </c>
      <c r="BJ164" s="52">
        <f>BB153/1000</f>
        <v>0</v>
      </c>
      <c r="BK164" s="137">
        <f>SUM(BI164:BJ164)/BL164</f>
        <v>0.68008191081972647</v>
      </c>
      <c r="BL164" s="52">
        <f>SUM(BH164:BJ164)</f>
        <v>3919.352886165143</v>
      </c>
      <c r="BU164" s="106"/>
      <c r="BV164" s="106"/>
      <c r="BW164" s="106"/>
      <c r="BX164" s="106"/>
      <c r="BY164" s="106"/>
      <c r="BZ164" s="106"/>
      <c r="CA164" s="106"/>
      <c r="CB164" s="106"/>
    </row>
    <row r="165" spans="1:80">
      <c r="A165" s="699"/>
      <c r="B165" s="23"/>
      <c r="C165" s="17" t="s">
        <v>27</v>
      </c>
      <c r="D165" s="57"/>
      <c r="E165" s="2"/>
      <c r="F165" s="2"/>
      <c r="G165" s="63"/>
      <c r="H165" s="2"/>
      <c r="I165" s="20"/>
      <c r="J165" s="21"/>
      <c r="K165" s="21"/>
      <c r="L165" s="22"/>
      <c r="M165" s="212"/>
      <c r="N165" s="23"/>
      <c r="O165" s="19"/>
      <c r="P165" s="19"/>
      <c r="Q165" s="19"/>
      <c r="R165" s="33"/>
      <c r="T165" s="201">
        <f>SUMIF([2]VIC!$D$75:$D$108,$C165,[2]VIC!K$75:K$108)</f>
        <v>0</v>
      </c>
      <c r="U165" s="198">
        <f>SUMIF([2]VIC!$D$75:$D$108,$C165,[2]VIC!L$75:L$108)</f>
        <v>0</v>
      </c>
      <c r="V165" s="198">
        <f>SUMIF([2]VIC!$D$75:$D$108,$C165,[2]VIC!M$75:M$108)</f>
        <v>0</v>
      </c>
      <c r="W165" s="63"/>
      <c r="X165" s="2"/>
      <c r="Y165" s="2"/>
      <c r="Z165" s="2"/>
      <c r="AA165" s="68"/>
      <c r="AB165" s="21"/>
      <c r="AC165" s="21"/>
      <c r="AD165" s="21"/>
      <c r="AE165" s="21"/>
      <c r="AF165" s="355"/>
      <c r="AG165" s="20">
        <f t="shared" si="49"/>
        <v>0</v>
      </c>
      <c r="AH165" s="21">
        <f t="shared" si="49"/>
        <v>0</v>
      </c>
      <c r="AI165" s="21">
        <f t="shared" si="49"/>
        <v>0</v>
      </c>
      <c r="AJ165" s="21">
        <f>SUM(AG165:AI165)</f>
        <v>0</v>
      </c>
      <c r="AK165" s="29">
        <f>AJ165/[2]Popn!$H$40*1000</f>
        <v>0</v>
      </c>
      <c r="AL165" s="19"/>
      <c r="AM165" s="57"/>
      <c r="AN165" s="2"/>
      <c r="AO165" s="2"/>
      <c r="AP165" s="63"/>
      <c r="AQ165" s="68"/>
      <c r="AR165" s="21"/>
      <c r="AS165" s="21"/>
      <c r="AT165" s="21"/>
      <c r="AU165" s="25"/>
      <c r="AV165" s="21"/>
      <c r="AW165" s="22"/>
      <c r="AX165" s="2"/>
      <c r="AY165" s="23"/>
      <c r="AZ165" s="19"/>
      <c r="BA165" s="19"/>
      <c r="BB165" s="19"/>
      <c r="BC165" s="24"/>
      <c r="BG165" s="147" t="s">
        <v>4</v>
      </c>
      <c r="BH165" s="52">
        <f>Q157/1000</f>
        <v>89.549373318605575</v>
      </c>
      <c r="BI165" s="52">
        <f>AJ157/1000</f>
        <v>1260.347</v>
      </c>
      <c r="BJ165" s="52">
        <f>BB157/1000</f>
        <v>0</v>
      </c>
      <c r="BK165" s="137">
        <f t="shared" ref="BK165:BK172" si="50">SUM(BI165:BJ165)/BL165</f>
        <v>0.93366203873971743</v>
      </c>
      <c r="BL165" s="52">
        <f t="shared" ref="BL165:BL172" si="51">SUM(BH165:BJ165)</f>
        <v>1349.8963733186056</v>
      </c>
    </row>
    <row r="166" spans="1:80">
      <c r="A166" s="699"/>
      <c r="B166" s="23"/>
      <c r="C166" s="17" t="s">
        <v>28</v>
      </c>
      <c r="D166" s="57"/>
      <c r="E166" s="2"/>
      <c r="F166" s="2"/>
      <c r="G166" s="63"/>
      <c r="H166" s="2"/>
      <c r="I166" s="20"/>
      <c r="J166" s="21"/>
      <c r="K166" s="21"/>
      <c r="L166" s="22"/>
      <c r="M166" s="212"/>
      <c r="N166" s="23"/>
      <c r="O166" s="19"/>
      <c r="P166" s="19"/>
      <c r="Q166" s="19"/>
      <c r="R166" s="33"/>
      <c r="T166" s="201">
        <f>SUMIF([2]VIC!$D$75:$D$108,$C166,[2]VIC!K$75:K$108)</f>
        <v>88290</v>
      </c>
      <c r="U166" s="198">
        <f>SUMIF([2]VIC!$D$75:$D$108,$C166,[2]VIC!L$75:L$108)</f>
        <v>92605.5</v>
      </c>
      <c r="V166" s="198">
        <f>SUMIF([2]VIC!$D$75:$D$108,$C166,[2]VIC!M$75:M$108)</f>
        <v>0</v>
      </c>
      <c r="W166" s="63"/>
      <c r="X166" s="2"/>
      <c r="Y166" s="2"/>
      <c r="Z166" s="2"/>
      <c r="AA166" s="68"/>
      <c r="AB166" s="21"/>
      <c r="AC166" s="21"/>
      <c r="AD166" s="21"/>
      <c r="AE166" s="21"/>
      <c r="AF166" s="355"/>
      <c r="AG166" s="20">
        <f t="shared" si="49"/>
        <v>88290</v>
      </c>
      <c r="AH166" s="21">
        <f t="shared" si="49"/>
        <v>92605.5</v>
      </c>
      <c r="AI166" s="21">
        <f t="shared" si="49"/>
        <v>0</v>
      </c>
      <c r="AJ166" s="21">
        <f>SUM(AG166:AI166)</f>
        <v>180895.5</v>
      </c>
      <c r="AK166" s="29">
        <f>AJ166/[2]Popn!$H$40*1000</f>
        <v>34.954152691420774</v>
      </c>
      <c r="AL166" s="19"/>
      <c r="AM166" s="57"/>
      <c r="AN166" s="2"/>
      <c r="AO166" s="2"/>
      <c r="AP166" s="63"/>
      <c r="AQ166" s="68"/>
      <c r="AR166" s="21"/>
      <c r="AS166" s="21"/>
      <c r="AT166" s="21"/>
      <c r="AU166" s="25"/>
      <c r="AV166" s="21"/>
      <c r="AW166" s="22"/>
      <c r="AX166" s="2"/>
      <c r="AY166" s="23"/>
      <c r="AZ166" s="19"/>
      <c r="BA166" s="19"/>
      <c r="BB166" s="19"/>
      <c r="BC166" s="24"/>
      <c r="BG166" s="147" t="s">
        <v>2</v>
      </c>
      <c r="BH166" s="52">
        <f>Q163/1000</f>
        <v>1710.1452700452412</v>
      </c>
      <c r="BI166" s="52">
        <f>AJ163/1000</f>
        <v>756.26499999999999</v>
      </c>
      <c r="BJ166" s="52">
        <f>BB163/1000</f>
        <v>207.02861327429434</v>
      </c>
      <c r="BK166" s="137">
        <f t="shared" si="50"/>
        <v>0.36032004295463793</v>
      </c>
      <c r="BL166" s="52">
        <f t="shared" si="51"/>
        <v>2673.4388833195358</v>
      </c>
    </row>
    <row r="167" spans="1:80">
      <c r="A167" s="699"/>
      <c r="B167" s="23"/>
      <c r="C167" s="17" t="s">
        <v>29</v>
      </c>
      <c r="D167" s="57"/>
      <c r="E167" s="2"/>
      <c r="F167" s="2"/>
      <c r="G167" s="63"/>
      <c r="H167" s="2"/>
      <c r="I167" s="20"/>
      <c r="J167" s="21"/>
      <c r="K167" s="21"/>
      <c r="L167" s="22"/>
      <c r="M167" s="212"/>
      <c r="N167" s="23"/>
      <c r="O167" s="19"/>
      <c r="P167" s="19"/>
      <c r="Q167" s="19"/>
      <c r="R167" s="33"/>
      <c r="T167" s="201">
        <f>SUMIF([2]VIC!$D$75:$D$108,$C167,[2]VIC!K$75:K$108)</f>
        <v>58591</v>
      </c>
      <c r="U167" s="198">
        <f>SUMIF([2]VIC!$D$75:$D$108,$C167,[2]VIC!L$75:L$108)</f>
        <v>73277.5</v>
      </c>
      <c r="V167" s="198">
        <f>SUMIF([2]VIC!$D$75:$D$108,$C167,[2]VIC!M$75:M$108)</f>
        <v>0</v>
      </c>
      <c r="W167" s="63"/>
      <c r="X167" s="2"/>
      <c r="Y167" s="2"/>
      <c r="Z167" s="2"/>
      <c r="AA167" s="68"/>
      <c r="AB167" s="21"/>
      <c r="AC167" s="21"/>
      <c r="AD167" s="21"/>
      <c r="AE167" s="21"/>
      <c r="AF167" s="355"/>
      <c r="AG167" s="20">
        <f t="shared" si="49"/>
        <v>58591</v>
      </c>
      <c r="AH167" s="21">
        <f t="shared" si="49"/>
        <v>73277.5</v>
      </c>
      <c r="AI167" s="21">
        <f t="shared" si="49"/>
        <v>0</v>
      </c>
      <c r="AJ167" s="21">
        <f>SUM(AG167:AI167)</f>
        <v>131868.5</v>
      </c>
      <c r="AK167" s="29">
        <f>AJ167/[2]Popn!$H$40*1000</f>
        <v>25.480742661860688</v>
      </c>
      <c r="AL167" s="19"/>
      <c r="AM167" s="57"/>
      <c r="AN167" s="2"/>
      <c r="AO167" s="2"/>
      <c r="AP167" s="63"/>
      <c r="AQ167" s="68"/>
      <c r="AR167" s="21"/>
      <c r="AS167" s="21"/>
      <c r="AT167" s="21"/>
      <c r="AU167" s="25"/>
      <c r="AV167" s="21"/>
      <c r="AW167" s="22"/>
      <c r="AX167" s="2"/>
      <c r="AY167" s="23"/>
      <c r="AZ167" s="19"/>
      <c r="BA167" s="19"/>
      <c r="BB167" s="19"/>
      <c r="BC167" s="24"/>
      <c r="BG167" s="147" t="s">
        <v>5</v>
      </c>
      <c r="BH167" s="52">
        <f>Q168/1000</f>
        <v>473.23822267321231</v>
      </c>
      <c r="BI167" s="52">
        <f>AJ168/1000</f>
        <v>761.0095</v>
      </c>
      <c r="BJ167" s="52">
        <f>BB168/1000</f>
        <v>37.063890056457119</v>
      </c>
      <c r="BK167" s="137">
        <f t="shared" si="50"/>
        <v>0.62775591921392981</v>
      </c>
      <c r="BL167" s="52">
        <f t="shared" si="51"/>
        <v>1271.3116127296694</v>
      </c>
    </row>
    <row r="168" spans="1:80" s="106" customFormat="1">
      <c r="A168" s="699"/>
      <c r="B168" s="107" t="s">
        <v>67</v>
      </c>
      <c r="C168" s="108"/>
      <c r="D168" s="109"/>
      <c r="E168" s="110"/>
      <c r="F168" s="110"/>
      <c r="G168" s="111"/>
      <c r="H168" s="110"/>
      <c r="I168" s="112">
        <f>D191*[2]VIC!K$13/(1-[2]VIC!$K$25)</f>
        <v>244064.82365638163</v>
      </c>
      <c r="J168" s="113">
        <f>E191*[2]VIC!L$31*[2]VIC!L$13/(1-[2]VIC!$L$25)</f>
        <v>261201.7451232223</v>
      </c>
      <c r="K168" s="113">
        <f>E191*[2]VIC!M$31*[2]VIC!M$13/(1-[2]VIC!$M$25)</f>
        <v>5035.5439500655048</v>
      </c>
      <c r="L168" s="114">
        <f>SUM(I168:K168)</f>
        <v>510302.11272966943</v>
      </c>
      <c r="M168" s="562"/>
      <c r="N168" s="112">
        <f>I168-AU168</f>
        <v>219630.98123351685</v>
      </c>
      <c r="O168" s="113">
        <f>J168-AV168</f>
        <v>248695.11008936143</v>
      </c>
      <c r="P168" s="113">
        <f>K168-AW168</f>
        <v>4912.1313503340243</v>
      </c>
      <c r="Q168" s="113">
        <f>SUM(N168:P168)</f>
        <v>473238.22267321229</v>
      </c>
      <c r="R168" s="115">
        <f>Q168/[2]Popn!$H$40*1000</f>
        <v>91.443076774911745</v>
      </c>
      <c r="T168" s="201"/>
      <c r="U168" s="198"/>
      <c r="V168" s="198"/>
      <c r="W168" s="111"/>
      <c r="X168" s="110"/>
      <c r="Y168" s="110"/>
      <c r="Z168" s="110"/>
      <c r="AA168" s="116"/>
      <c r="AB168" s="113"/>
      <c r="AC168" s="113"/>
      <c r="AD168" s="113"/>
      <c r="AE168" s="113"/>
      <c r="AF168" s="567"/>
      <c r="AG168" s="112">
        <f>SUM(AG164:AG167)</f>
        <v>230466</v>
      </c>
      <c r="AH168" s="113">
        <f>SUM(AH164:AH167)</f>
        <v>530543.5</v>
      </c>
      <c r="AI168" s="113">
        <f>SUM(AI164:AI167)</f>
        <v>0</v>
      </c>
      <c r="AJ168" s="113">
        <f>SUM(AJ164:AJ167)</f>
        <v>761009.5</v>
      </c>
      <c r="AK168" s="118">
        <f>SUM(AK164:AK167)</f>
        <v>147.04866767068154</v>
      </c>
      <c r="AL168" s="119"/>
      <c r="AM168" s="109"/>
      <c r="AN168" s="110"/>
      <c r="AO168" s="110"/>
      <c r="AP168" s="111"/>
      <c r="AQ168" s="117"/>
      <c r="AR168" s="113">
        <f>L168*'[2]Lfill en &amp; composn'!$D$17</f>
        <v>100019.21409501521</v>
      </c>
      <c r="AS168" s="123">
        <f>AR168/SUM($AR$148:$AR$190)</f>
        <v>0.28424058172511768</v>
      </c>
      <c r="AT168" s="113">
        <f>AS168*'[2]Lfill en &amp; composn'!$H$60/'[2]Lfill en &amp; composn'!$B$17</f>
        <v>51087.416956268535</v>
      </c>
      <c r="AU168" s="25">
        <f>AT168*I168/$L168</f>
        <v>24433.842422864775</v>
      </c>
      <c r="AV168" s="21">
        <f>AU168*J168/$L168</f>
        <v>12506.635033860866</v>
      </c>
      <c r="AW168" s="22">
        <f>AV168*K168/$L168</f>
        <v>123.4125997314802</v>
      </c>
      <c r="AX168" s="110"/>
      <c r="AY168" s="112">
        <f>AU168</f>
        <v>24433.842422864775</v>
      </c>
      <c r="AZ168" s="113">
        <f>AN168+AQ168+AV168</f>
        <v>12506.635033860866</v>
      </c>
      <c r="BA168" s="113">
        <f>AW168</f>
        <v>123.4125997314802</v>
      </c>
      <c r="BB168" s="113">
        <f>SUM(AY168:BA168)</f>
        <v>37063.890056457116</v>
      </c>
      <c r="BC168" s="118">
        <f>BB168/[2]Popn!$H$40*1000</f>
        <v>7.1617971280182982</v>
      </c>
      <c r="BD168" s="122"/>
      <c r="BG168" s="147" t="s">
        <v>6</v>
      </c>
      <c r="BH168" s="52">
        <f>Q178/1000</f>
        <v>398.93550840994823</v>
      </c>
      <c r="BI168" s="52">
        <f>AJ178/1000</f>
        <v>115.12650000000002</v>
      </c>
      <c r="BJ168" s="52">
        <f>BB178/1000</f>
        <v>0</v>
      </c>
      <c r="BK168" s="137">
        <f t="shared" si="50"/>
        <v>0.22395449987852489</v>
      </c>
      <c r="BL168" s="52">
        <f t="shared" si="51"/>
        <v>514.06200840994825</v>
      </c>
      <c r="BM168" s="6"/>
      <c r="BN168" s="6"/>
      <c r="BO168" s="6"/>
      <c r="BU168" s="6"/>
      <c r="BV168" s="6"/>
      <c r="BW168" s="6"/>
      <c r="BX168" s="6"/>
      <c r="BY168" s="6"/>
      <c r="BZ168" s="6"/>
      <c r="CA168" s="6"/>
      <c r="CB168" s="6"/>
    </row>
    <row r="169" spans="1:80">
      <c r="A169" s="699"/>
      <c r="B169" s="23" t="s">
        <v>6</v>
      </c>
      <c r="C169" s="17" t="s">
        <v>30</v>
      </c>
      <c r="D169" s="57"/>
      <c r="E169" s="2"/>
      <c r="F169" s="2"/>
      <c r="G169" s="63"/>
      <c r="H169" s="2"/>
      <c r="I169" s="20"/>
      <c r="J169" s="21"/>
      <c r="K169" s="21"/>
      <c r="L169" s="22"/>
      <c r="M169" s="212"/>
      <c r="N169" s="23"/>
      <c r="O169" s="19"/>
      <c r="P169" s="19"/>
      <c r="Q169" s="19"/>
      <c r="R169" s="33"/>
      <c r="T169" s="201"/>
      <c r="U169" s="198"/>
      <c r="V169" s="198"/>
      <c r="W169" s="63"/>
      <c r="X169" s="2"/>
      <c r="Y169" s="2"/>
      <c r="Z169" s="2"/>
      <c r="AA169" s="68"/>
      <c r="AB169" s="21"/>
      <c r="AC169" s="21"/>
      <c r="AD169" s="21"/>
      <c r="AE169" s="21"/>
      <c r="AF169" s="355"/>
      <c r="AG169" s="20"/>
      <c r="AH169" s="21"/>
      <c r="AI169" s="21"/>
      <c r="AJ169" s="21"/>
      <c r="AK169" s="29"/>
      <c r="AL169" s="19"/>
      <c r="AM169" s="57"/>
      <c r="AN169" s="2"/>
      <c r="AO169" s="2"/>
      <c r="AP169" s="63"/>
      <c r="AQ169" s="68"/>
      <c r="AR169" s="21"/>
      <c r="AS169" s="21"/>
      <c r="AT169" s="21"/>
      <c r="AU169" s="25"/>
      <c r="AV169" s="21"/>
      <c r="AW169" s="22"/>
      <c r="AX169" s="2"/>
      <c r="AY169" s="23"/>
      <c r="AZ169" s="19"/>
      <c r="BA169" s="19"/>
      <c r="BB169" s="19"/>
      <c r="BC169" s="24"/>
      <c r="BG169" s="147" t="s">
        <v>8</v>
      </c>
      <c r="BH169" s="52">
        <f>Q179/1000</f>
        <v>90.589425088059983</v>
      </c>
      <c r="BI169" s="52">
        <f>AJ179/1000</f>
        <v>202.06899999999999</v>
      </c>
      <c r="BJ169" s="52">
        <f>BB179/1000</f>
        <v>0</v>
      </c>
      <c r="BK169" s="137">
        <f t="shared" si="50"/>
        <v>0.69046021804838897</v>
      </c>
      <c r="BL169" s="52">
        <f t="shared" si="51"/>
        <v>292.65842508805997</v>
      </c>
      <c r="BU169" s="106"/>
      <c r="BV169" s="106"/>
      <c r="BW169" s="106"/>
      <c r="BX169" s="106"/>
      <c r="BY169" s="106"/>
      <c r="BZ169" s="106"/>
      <c r="CA169" s="106"/>
      <c r="CB169" s="106"/>
    </row>
    <row r="170" spans="1:80">
      <c r="A170" s="699"/>
      <c r="B170" s="23"/>
      <c r="C170" s="17" t="s">
        <v>31</v>
      </c>
      <c r="D170" s="57"/>
      <c r="E170" s="2"/>
      <c r="F170" s="2"/>
      <c r="G170" s="63"/>
      <c r="H170" s="2"/>
      <c r="I170" s="20"/>
      <c r="J170" s="21"/>
      <c r="K170" s="21"/>
      <c r="L170" s="22"/>
      <c r="M170" s="212"/>
      <c r="N170" s="23"/>
      <c r="O170" s="19"/>
      <c r="P170" s="19"/>
      <c r="Q170" s="19"/>
      <c r="R170" s="33"/>
      <c r="T170" s="201"/>
      <c r="U170" s="198"/>
      <c r="V170" s="198"/>
      <c r="W170" s="63"/>
      <c r="X170" s="2"/>
      <c r="Y170" s="2"/>
      <c r="Z170" s="2"/>
      <c r="AA170" s="68"/>
      <c r="AB170" s="21"/>
      <c r="AC170" s="21"/>
      <c r="AD170" s="21"/>
      <c r="AE170" s="21"/>
      <c r="AF170" s="355"/>
      <c r="AG170" s="20"/>
      <c r="AH170" s="21"/>
      <c r="AI170" s="21"/>
      <c r="AJ170" s="21"/>
      <c r="AK170" s="29"/>
      <c r="AL170" s="19"/>
      <c r="AM170" s="57"/>
      <c r="AN170" s="2"/>
      <c r="AO170" s="2"/>
      <c r="AP170" s="63"/>
      <c r="AQ170" s="68"/>
      <c r="AR170" s="21"/>
      <c r="AS170" s="21"/>
      <c r="AT170" s="21"/>
      <c r="AU170" s="25"/>
      <c r="AV170" s="21"/>
      <c r="AW170" s="22"/>
      <c r="AX170" s="2"/>
      <c r="AY170" s="23"/>
      <c r="AZ170" s="19"/>
      <c r="BA170" s="19"/>
      <c r="BB170" s="19"/>
      <c r="BC170" s="24"/>
      <c r="BG170" s="147" t="s">
        <v>7</v>
      </c>
      <c r="BH170" s="52">
        <f>Q182/1000</f>
        <v>165.55178392502242</v>
      </c>
      <c r="BI170" s="52">
        <f>AJ182/1000</f>
        <v>94.753500000000003</v>
      </c>
      <c r="BJ170" s="52">
        <f>BB182/1000</f>
        <v>14.723727094015988</v>
      </c>
      <c r="BK170" s="137">
        <f t="shared" si="50"/>
        <v>0.39805701474321054</v>
      </c>
      <c r="BL170" s="52">
        <f t="shared" si="51"/>
        <v>275.02901101903842</v>
      </c>
    </row>
    <row r="171" spans="1:80">
      <c r="A171" s="699"/>
      <c r="B171" s="23"/>
      <c r="C171" s="17" t="s">
        <v>32</v>
      </c>
      <c r="D171" s="57"/>
      <c r="E171" s="2"/>
      <c r="F171" s="2"/>
      <c r="G171" s="63"/>
      <c r="H171" s="2"/>
      <c r="I171" s="20"/>
      <c r="J171" s="21"/>
      <c r="K171" s="21"/>
      <c r="L171" s="22"/>
      <c r="M171" s="212"/>
      <c r="N171" s="23"/>
      <c r="O171" s="19"/>
      <c r="P171" s="19"/>
      <c r="Q171" s="19"/>
      <c r="R171" s="33"/>
      <c r="T171" s="201"/>
      <c r="U171" s="198"/>
      <c r="V171" s="198"/>
      <c r="W171" s="63"/>
      <c r="X171" s="2"/>
      <c r="Y171" s="2"/>
      <c r="Z171" s="2"/>
      <c r="AA171" s="68"/>
      <c r="AB171" s="21"/>
      <c r="AC171" s="21"/>
      <c r="AD171" s="21"/>
      <c r="AE171" s="21"/>
      <c r="AF171" s="355"/>
      <c r="AG171" s="20"/>
      <c r="AH171" s="21"/>
      <c r="AI171" s="21"/>
      <c r="AJ171" s="21"/>
      <c r="AK171" s="29"/>
      <c r="AL171" s="19"/>
      <c r="AM171" s="57"/>
      <c r="AN171" s="2"/>
      <c r="AO171" s="2"/>
      <c r="AP171" s="63"/>
      <c r="AQ171" s="68"/>
      <c r="AR171" s="21"/>
      <c r="AS171" s="21"/>
      <c r="AT171" s="21"/>
      <c r="AU171" s="25"/>
      <c r="AV171" s="21"/>
      <c r="AW171" s="22"/>
      <c r="AX171" s="2"/>
      <c r="AY171" s="23"/>
      <c r="AZ171" s="19"/>
      <c r="BA171" s="19"/>
      <c r="BB171" s="19"/>
      <c r="BC171" s="24"/>
      <c r="BG171" s="147" t="s">
        <v>11</v>
      </c>
      <c r="BH171" s="52">
        <f>Q187/1000</f>
        <v>733.78800000000001</v>
      </c>
      <c r="BI171" s="52">
        <f>AJ187/1000</f>
        <v>0</v>
      </c>
      <c r="BJ171" s="52">
        <f>BB187/1000</f>
        <v>0</v>
      </c>
      <c r="BK171" s="137">
        <f t="shared" si="50"/>
        <v>0</v>
      </c>
      <c r="BL171" s="52">
        <f t="shared" si="51"/>
        <v>733.78800000000001</v>
      </c>
    </row>
    <row r="172" spans="1:80" s="90" customFormat="1">
      <c r="A172" s="699"/>
      <c r="B172" s="91" t="s">
        <v>42</v>
      </c>
      <c r="C172" s="92"/>
      <c r="D172" s="93"/>
      <c r="E172" s="94"/>
      <c r="F172" s="94"/>
      <c r="G172" s="95"/>
      <c r="H172" s="94"/>
      <c r="I172" s="96">
        <f>D191*[2]VIC!K$20/(1-[2]VIC!$K$25)</f>
        <v>82906.059737104006</v>
      </c>
      <c r="J172" s="97">
        <f>E191*[2]VIC!L$31*[2]VIC!L$20/(1-[2]VIC!$L$25)</f>
        <v>61748.529704862172</v>
      </c>
      <c r="K172" s="97">
        <f>E191*[2]VIC!M$31*[2]VIC!M$20/(1-[2]VIC!$M$25)</f>
        <v>5473.4173370277222</v>
      </c>
      <c r="L172" s="98">
        <f>SUM(I172:K172)</f>
        <v>150128.00677899391</v>
      </c>
      <c r="M172" s="562"/>
      <c r="N172" s="96">
        <f>I172-AU172</f>
        <v>82906.059737104006</v>
      </c>
      <c r="O172" s="97">
        <f>J172-AV172</f>
        <v>61748.529704862172</v>
      </c>
      <c r="P172" s="97">
        <f>K172-AW172</f>
        <v>5473.4173370277222</v>
      </c>
      <c r="Q172" s="97">
        <f>SUM(N172:P172)</f>
        <v>150128.00677899391</v>
      </c>
      <c r="R172" s="99">
        <f>Q172/[2]Popn!$H$40*1000</f>
        <v>29.008998411854392</v>
      </c>
      <c r="T172" s="201"/>
      <c r="U172" s="198"/>
      <c r="V172" s="198"/>
      <c r="W172" s="95"/>
      <c r="X172" s="94"/>
      <c r="Y172" s="94"/>
      <c r="Z172" s="94"/>
      <c r="AA172" s="100"/>
      <c r="AB172" s="97"/>
      <c r="AC172" s="97"/>
      <c r="AD172" s="97"/>
      <c r="AE172" s="97"/>
      <c r="AF172" s="568"/>
      <c r="AG172" s="96"/>
      <c r="AH172" s="97"/>
      <c r="AI172" s="97"/>
      <c r="AJ172" s="97"/>
      <c r="AK172" s="102"/>
      <c r="AL172" s="103"/>
      <c r="AM172" s="93"/>
      <c r="AN172" s="94"/>
      <c r="AO172" s="94"/>
      <c r="AP172" s="95"/>
      <c r="AQ172" s="100"/>
      <c r="AR172" s="97"/>
      <c r="AS172" s="128"/>
      <c r="AT172" s="128"/>
      <c r="AU172" s="104"/>
      <c r="AV172" s="97"/>
      <c r="AW172" s="98"/>
      <c r="AX172" s="94"/>
      <c r="AY172" s="96"/>
      <c r="AZ172" s="97"/>
      <c r="BA172" s="97"/>
      <c r="BB172" s="97"/>
      <c r="BC172" s="105"/>
      <c r="BG172" s="147" t="s">
        <v>1</v>
      </c>
      <c r="BH172" s="52">
        <f>Q188/1000</f>
        <v>1724.5551973080453</v>
      </c>
      <c r="BI172" s="52">
        <f>AJ188/1000</f>
        <v>1042.2035591924134</v>
      </c>
      <c r="BJ172" s="52">
        <f>BB188/1000</f>
        <v>0</v>
      </c>
      <c r="BK172" s="137">
        <f t="shared" si="50"/>
        <v>0.37668754340933108</v>
      </c>
      <c r="BL172" s="52">
        <f t="shared" si="51"/>
        <v>2766.7587565004587</v>
      </c>
      <c r="BM172" s="6"/>
      <c r="BN172" s="6"/>
      <c r="BO172" s="6"/>
      <c r="BU172" s="6"/>
      <c r="BV172" s="6"/>
      <c r="BW172" s="6"/>
      <c r="BX172" s="6"/>
      <c r="BY172" s="6"/>
      <c r="BZ172" s="6"/>
      <c r="CA172" s="6"/>
      <c r="CB172" s="6"/>
    </row>
    <row r="173" spans="1:80">
      <c r="A173" s="699"/>
      <c r="B173" s="23"/>
      <c r="C173" s="17" t="s">
        <v>33</v>
      </c>
      <c r="D173" s="57"/>
      <c r="E173" s="2"/>
      <c r="F173" s="2"/>
      <c r="G173" s="63"/>
      <c r="H173" s="2"/>
      <c r="I173" s="20"/>
      <c r="J173" s="21"/>
      <c r="K173" s="21"/>
      <c r="L173" s="22"/>
      <c r="M173" s="212"/>
      <c r="N173" s="23"/>
      <c r="O173" s="19"/>
      <c r="P173" s="19"/>
      <c r="Q173" s="19"/>
      <c r="R173" s="33"/>
      <c r="T173" s="201"/>
      <c r="U173" s="198"/>
      <c r="V173" s="198"/>
      <c r="W173" s="63"/>
      <c r="X173" s="2"/>
      <c r="Y173" s="2"/>
      <c r="Z173" s="2"/>
      <c r="AA173" s="68"/>
      <c r="AB173" s="21"/>
      <c r="AC173" s="21"/>
      <c r="AD173" s="21"/>
      <c r="AE173" s="21"/>
      <c r="AF173" s="355"/>
      <c r="AG173" s="20"/>
      <c r="AH173" s="21"/>
      <c r="AI173" s="21"/>
      <c r="AJ173" s="21"/>
      <c r="AK173" s="29"/>
      <c r="AL173" s="19"/>
      <c r="AM173" s="57"/>
      <c r="AN173" s="2"/>
      <c r="AO173" s="2"/>
      <c r="AP173" s="63"/>
      <c r="AQ173" s="68"/>
      <c r="AR173" s="21"/>
      <c r="AS173" s="21"/>
      <c r="AT173" s="21"/>
      <c r="AU173" s="25"/>
      <c r="AV173" s="21"/>
      <c r="AW173" s="22"/>
      <c r="AX173" s="2"/>
      <c r="AY173" s="23"/>
      <c r="AZ173" s="19"/>
      <c r="BA173" s="19"/>
      <c r="BB173" s="19"/>
      <c r="BC173" s="24"/>
      <c r="BG173" s="142"/>
      <c r="BU173" s="90"/>
      <c r="BV173" s="90"/>
      <c r="BW173" s="90"/>
      <c r="BX173" s="90"/>
      <c r="BY173" s="90"/>
      <c r="BZ173" s="90"/>
      <c r="CA173" s="90"/>
      <c r="CB173" s="90"/>
    </row>
    <row r="174" spans="1:80">
      <c r="A174" s="699"/>
      <c r="B174" s="23"/>
      <c r="C174" s="17" t="s">
        <v>34</v>
      </c>
      <c r="D174" s="57"/>
      <c r="E174" s="2"/>
      <c r="F174" s="2"/>
      <c r="G174" s="63"/>
      <c r="H174" s="2"/>
      <c r="I174" s="20"/>
      <c r="J174" s="21"/>
      <c r="K174" s="21"/>
      <c r="L174" s="22"/>
      <c r="M174" s="212"/>
      <c r="N174" s="23"/>
      <c r="O174" s="19"/>
      <c r="P174" s="19"/>
      <c r="Q174" s="19"/>
      <c r="R174" s="33"/>
      <c r="T174" s="201"/>
      <c r="U174" s="198"/>
      <c r="V174" s="198"/>
      <c r="W174" s="63"/>
      <c r="X174" s="2"/>
      <c r="Y174" s="2"/>
      <c r="Z174" s="2"/>
      <c r="AA174" s="68"/>
      <c r="AB174" s="21"/>
      <c r="AC174" s="21"/>
      <c r="AD174" s="21"/>
      <c r="AE174" s="21"/>
      <c r="AF174" s="355"/>
      <c r="AG174" s="20"/>
      <c r="AH174" s="21"/>
      <c r="AI174" s="21"/>
      <c r="AJ174" s="21"/>
      <c r="AK174" s="29"/>
      <c r="AL174" s="19"/>
      <c r="AM174" s="57"/>
      <c r="AN174" s="2"/>
      <c r="AO174" s="2"/>
      <c r="AP174" s="63"/>
      <c r="AQ174" s="68"/>
      <c r="AR174" s="21"/>
      <c r="AS174" s="21"/>
      <c r="AT174" s="21"/>
      <c r="AU174" s="25"/>
      <c r="AV174" s="21"/>
      <c r="AW174" s="22"/>
      <c r="AX174" s="2"/>
      <c r="AY174" s="23"/>
      <c r="AZ174" s="19"/>
      <c r="BA174" s="19"/>
      <c r="BB174" s="19"/>
      <c r="BC174" s="24"/>
    </row>
    <row r="175" spans="1:80">
      <c r="A175" s="699"/>
      <c r="B175" s="23"/>
      <c r="C175" s="17" t="s">
        <v>35</v>
      </c>
      <c r="D175" s="57"/>
      <c r="E175" s="2"/>
      <c r="F175" s="2"/>
      <c r="G175" s="63"/>
      <c r="H175" s="2"/>
      <c r="I175" s="20"/>
      <c r="J175" s="21"/>
      <c r="K175" s="21"/>
      <c r="L175" s="22"/>
      <c r="M175" s="212"/>
      <c r="N175" s="23"/>
      <c r="O175" s="19"/>
      <c r="P175" s="19"/>
      <c r="Q175" s="19"/>
      <c r="R175" s="33"/>
      <c r="T175" s="201"/>
      <c r="U175" s="198"/>
      <c r="V175" s="198"/>
      <c r="W175" s="63"/>
      <c r="X175" s="2"/>
      <c r="Y175" s="2"/>
      <c r="Z175" s="2"/>
      <c r="AA175" s="68"/>
      <c r="AB175" s="21"/>
      <c r="AC175" s="21"/>
      <c r="AD175" s="21"/>
      <c r="AE175" s="21"/>
      <c r="AF175" s="355"/>
      <c r="AG175" s="20"/>
      <c r="AH175" s="21"/>
      <c r="AI175" s="21"/>
      <c r="AJ175" s="21"/>
      <c r="AK175" s="29"/>
      <c r="AL175" s="19"/>
      <c r="AM175" s="57"/>
      <c r="AN175" s="2"/>
      <c r="AO175" s="2"/>
      <c r="AP175" s="63"/>
      <c r="AQ175" s="68"/>
      <c r="AR175" s="21"/>
      <c r="AS175" s="21"/>
      <c r="AT175" s="21"/>
      <c r="AU175" s="25"/>
      <c r="AV175" s="21"/>
      <c r="AW175" s="22"/>
      <c r="AX175" s="2"/>
      <c r="AY175" s="23"/>
      <c r="AZ175" s="19"/>
      <c r="BA175" s="19"/>
      <c r="BB175" s="19"/>
      <c r="BC175" s="24"/>
    </row>
    <row r="176" spans="1:80">
      <c r="A176" s="699"/>
      <c r="B176" s="23"/>
      <c r="C176" s="17" t="s">
        <v>36</v>
      </c>
      <c r="D176" s="57"/>
      <c r="E176" s="2"/>
      <c r="F176" s="2"/>
      <c r="G176" s="63"/>
      <c r="H176" s="2"/>
      <c r="I176" s="20"/>
      <c r="J176" s="21"/>
      <c r="K176" s="21"/>
      <c r="L176" s="22"/>
      <c r="M176" s="212"/>
      <c r="N176" s="23"/>
      <c r="O176" s="19"/>
      <c r="P176" s="19"/>
      <c r="Q176" s="19"/>
      <c r="R176" s="33"/>
      <c r="T176" s="201"/>
      <c r="U176" s="198"/>
      <c r="V176" s="198"/>
      <c r="W176" s="63"/>
      <c r="X176" s="2"/>
      <c r="Y176" s="2"/>
      <c r="Z176" s="2"/>
      <c r="AA176" s="68"/>
      <c r="AB176" s="21"/>
      <c r="AC176" s="21"/>
      <c r="AD176" s="21"/>
      <c r="AE176" s="21"/>
      <c r="AF176" s="355"/>
      <c r="AG176" s="20"/>
      <c r="AH176" s="21"/>
      <c r="AI176" s="21"/>
      <c r="AJ176" s="21"/>
      <c r="AK176" s="29"/>
      <c r="AL176" s="19"/>
      <c r="AM176" s="57"/>
      <c r="AN176" s="2"/>
      <c r="AO176" s="2"/>
      <c r="AP176" s="63"/>
      <c r="AQ176" s="68"/>
      <c r="AR176" s="21"/>
      <c r="AS176" s="21"/>
      <c r="AT176" s="21"/>
      <c r="AU176" s="25"/>
      <c r="AV176" s="21"/>
      <c r="AW176" s="22"/>
      <c r="AX176" s="2"/>
      <c r="AY176" s="23"/>
      <c r="AZ176" s="19"/>
      <c r="BA176" s="19"/>
      <c r="BB176" s="19"/>
      <c r="BC176" s="24"/>
    </row>
    <row r="177" spans="1:80" s="90" customFormat="1">
      <c r="A177" s="699"/>
      <c r="B177" s="91" t="s">
        <v>43</v>
      </c>
      <c r="C177" s="92"/>
      <c r="D177" s="93"/>
      <c r="E177" s="94"/>
      <c r="F177" s="94"/>
      <c r="G177" s="95"/>
      <c r="H177" s="94"/>
      <c r="I177" s="96">
        <f>D191*[2]VIC!K$21/(1-[2]VIC!$K$25)</f>
        <v>118583.05902163745</v>
      </c>
      <c r="J177" s="97">
        <f>E191*[2]VIC!L$31*[2]VIC!L$21/(1-[2]VIC!$L$25)</f>
        <v>126502.51882013798</v>
      </c>
      <c r="K177" s="97">
        <f>E191*[2]VIC!M$31*[2]VIC!M$21/(1-[2]VIC!$M$25)</f>
        <v>3721.9237891788512</v>
      </c>
      <c r="L177" s="98">
        <f>SUM(I177:K177)</f>
        <v>248807.5016309543</v>
      </c>
      <c r="M177" s="562"/>
      <c r="N177" s="96">
        <f>I177-AU177</f>
        <v>118583.05902163745</v>
      </c>
      <c r="O177" s="97">
        <f>J177-AV177</f>
        <v>126502.51882013798</v>
      </c>
      <c r="P177" s="97">
        <f>K177-AW177</f>
        <v>3721.9237891788512</v>
      </c>
      <c r="Q177" s="97">
        <f>SUM(N177:P177)</f>
        <v>248807.5016309543</v>
      </c>
      <c r="R177" s="99">
        <f>Q177/[2]Popn!$H$40*1000</f>
        <v>48.076681856537611</v>
      </c>
      <c r="T177" s="201"/>
      <c r="U177" s="198"/>
      <c r="V177" s="198"/>
      <c r="W177" s="95"/>
      <c r="X177" s="94"/>
      <c r="Y177" s="94"/>
      <c r="Z177" s="94"/>
      <c r="AA177" s="100"/>
      <c r="AB177" s="97"/>
      <c r="AC177" s="97"/>
      <c r="AD177" s="97"/>
      <c r="AE177" s="97"/>
      <c r="AF177" s="568"/>
      <c r="AG177" s="96"/>
      <c r="AH177" s="97"/>
      <c r="AI177" s="97"/>
      <c r="AJ177" s="97"/>
      <c r="AK177" s="102"/>
      <c r="AL177" s="103"/>
      <c r="AM177" s="93"/>
      <c r="AN177" s="94"/>
      <c r="AO177" s="94"/>
      <c r="AP177" s="95"/>
      <c r="AQ177" s="100"/>
      <c r="AR177" s="97"/>
      <c r="AS177" s="97"/>
      <c r="AT177" s="97"/>
      <c r="AU177" s="104"/>
      <c r="AV177" s="97"/>
      <c r="AW177" s="98"/>
      <c r="AX177" s="94"/>
      <c r="AY177" s="96"/>
      <c r="AZ177" s="97"/>
      <c r="BA177" s="97"/>
      <c r="BB177" s="97"/>
      <c r="BC177" s="105"/>
      <c r="BG177" s="143"/>
      <c r="BU177" s="6"/>
      <c r="BV177" s="6"/>
      <c r="BW177" s="6"/>
      <c r="BX177" s="6"/>
      <c r="BY177" s="6"/>
      <c r="BZ177" s="6"/>
      <c r="CA177" s="6"/>
      <c r="CB177" s="6"/>
    </row>
    <row r="178" spans="1:80" s="106" customFormat="1">
      <c r="A178" s="699"/>
      <c r="B178" s="107" t="s">
        <v>67</v>
      </c>
      <c r="C178" s="108"/>
      <c r="D178" s="109"/>
      <c r="E178" s="110"/>
      <c r="F178" s="110"/>
      <c r="G178" s="111"/>
      <c r="H178" s="110"/>
      <c r="I178" s="112"/>
      <c r="J178" s="113"/>
      <c r="K178" s="113"/>
      <c r="L178" s="114"/>
      <c r="M178" s="562"/>
      <c r="N178" s="112">
        <f>N172+N177</f>
        <v>201489.11875874148</v>
      </c>
      <c r="O178" s="113">
        <f>O172+O177</f>
        <v>188251.04852500017</v>
      </c>
      <c r="P178" s="113">
        <f>P172+P177</f>
        <v>9195.3411262065729</v>
      </c>
      <c r="Q178" s="113">
        <f>Q172+Q177</f>
        <v>398935.5084099482</v>
      </c>
      <c r="R178" s="115">
        <f>R172+R177</f>
        <v>77.085680268391997</v>
      </c>
      <c r="T178" s="201"/>
      <c r="U178" s="198"/>
      <c r="V178" s="198"/>
      <c r="W178" s="111"/>
      <c r="X178" s="130">
        <f>[2]PACIA!$H$45*[2]PACIA!I45</f>
        <v>40317.300300000003</v>
      </c>
      <c r="Y178" s="130">
        <f>[2]PACIA!$H$45*[2]PACIA!J45</f>
        <v>67049.673600000009</v>
      </c>
      <c r="Z178" s="130">
        <f>[2]PACIA!$H$45*[2]PACIA!K45</f>
        <v>7759.5261</v>
      </c>
      <c r="AA178" s="116"/>
      <c r="AB178" s="113"/>
      <c r="AC178" s="113"/>
      <c r="AD178" s="113"/>
      <c r="AE178" s="113"/>
      <c r="AF178" s="355" t="s">
        <v>197</v>
      </c>
      <c r="AG178" s="112">
        <f>X178</f>
        <v>40317.300300000003</v>
      </c>
      <c r="AH178" s="113">
        <f>Y178</f>
        <v>67049.673600000009</v>
      </c>
      <c r="AI178" s="113">
        <f>Z178</f>
        <v>7759.5261</v>
      </c>
      <c r="AJ178" s="114">
        <f>SUM(AG178:AI178)</f>
        <v>115126.50000000001</v>
      </c>
      <c r="AK178" s="118">
        <f>AJ178/[2]Popn!$H$42*1000</f>
        <v>21.142470988706854</v>
      </c>
      <c r="AL178" s="119"/>
      <c r="AM178" s="109"/>
      <c r="AN178" s="110"/>
      <c r="AO178" s="110"/>
      <c r="AP178" s="111"/>
      <c r="AQ178" s="116"/>
      <c r="AR178" s="113"/>
      <c r="AS178" s="113"/>
      <c r="AT178" s="113"/>
      <c r="AU178" s="120"/>
      <c r="AV178" s="113"/>
      <c r="AW178" s="114"/>
      <c r="AX178" s="110"/>
      <c r="AY178" s="112">
        <f>AY172+AY177</f>
        <v>0</v>
      </c>
      <c r="AZ178" s="113">
        <f>AZ172+AZ177</f>
        <v>0</v>
      </c>
      <c r="BA178" s="113">
        <f>BA172+BA177</f>
        <v>0</v>
      </c>
      <c r="BB178" s="113">
        <f>BB172+BB177</f>
        <v>0</v>
      </c>
      <c r="BC178" s="115">
        <f>BC172+BC177</f>
        <v>0</v>
      </c>
      <c r="BG178" s="144"/>
      <c r="BU178" s="90"/>
      <c r="BV178" s="90"/>
      <c r="BW178" s="90"/>
      <c r="BX178" s="90"/>
      <c r="BY178" s="90"/>
      <c r="BZ178" s="90"/>
      <c r="CA178" s="90"/>
      <c r="CB178" s="90"/>
    </row>
    <row r="179" spans="1:80" s="106" customFormat="1">
      <c r="A179" s="699"/>
      <c r="B179" s="37" t="s">
        <v>8</v>
      </c>
      <c r="C179" s="129" t="s">
        <v>8</v>
      </c>
      <c r="D179" s="109"/>
      <c r="E179" s="110"/>
      <c r="F179" s="110"/>
      <c r="G179" s="111"/>
      <c r="H179" s="110"/>
      <c r="I179" s="112">
        <f>D191*[2]VIC!K$19/(1-[2]VIC!$K$25)</f>
        <v>60969.126098193672</v>
      </c>
      <c r="J179" s="113">
        <f>E191*[2]VIC!L$31*[2]VIC!L$19/(1-[2]VIC!$L$25)</f>
        <v>27868.805442017441</v>
      </c>
      <c r="K179" s="113">
        <f>E191*[2]VIC!M$31*[2]VIC!M$19/(1-[2]VIC!$M$25)</f>
        <v>1751.493547848871</v>
      </c>
      <c r="L179" s="114">
        <f>SUM(I179:K179)</f>
        <v>90589.425088059987</v>
      </c>
      <c r="M179" s="562"/>
      <c r="N179" s="112">
        <f>I179-AU179</f>
        <v>60969.126098193672</v>
      </c>
      <c r="O179" s="113">
        <f>J179-AV179</f>
        <v>27868.805442017441</v>
      </c>
      <c r="P179" s="113">
        <f>K179-AW179</f>
        <v>1751.493547848871</v>
      </c>
      <c r="Q179" s="113">
        <f>SUM(N179:P179)</f>
        <v>90589.425088059987</v>
      </c>
      <c r="R179" s="115">
        <f>Q179/[2]Popn!$H$40*1000</f>
        <v>17.504451999945122</v>
      </c>
      <c r="T179" s="202">
        <f>SUMIF([2]VIC!$D$75:$D$108,$C179,[2]VIC!K$75:K$108)</f>
        <v>169889</v>
      </c>
      <c r="U179" s="130">
        <f>SUMIF([2]VIC!$D$75:$D$108,$C179,[2]VIC!L$75:L$108)</f>
        <v>32180</v>
      </c>
      <c r="V179" s="130">
        <f>SUMIF([2]VIC!$D$75:$D$108,$C179,[2]VIC!M$75:M$108)</f>
        <v>0</v>
      </c>
      <c r="W179" s="111"/>
      <c r="X179" s="110"/>
      <c r="Y179" s="110"/>
      <c r="Z179" s="110"/>
      <c r="AA179" s="116"/>
      <c r="AB179" s="113"/>
      <c r="AC179" s="113"/>
      <c r="AD179" s="113"/>
      <c r="AE179" s="113"/>
      <c r="AF179" s="567"/>
      <c r="AG179" s="112">
        <f t="shared" ref="AG179:AI181" si="52">T179</f>
        <v>169889</v>
      </c>
      <c r="AH179" s="113">
        <f t="shared" si="52"/>
        <v>32180</v>
      </c>
      <c r="AI179" s="113">
        <f t="shared" si="52"/>
        <v>0</v>
      </c>
      <c r="AJ179" s="113">
        <f>SUM(AG179:AI179)</f>
        <v>202069</v>
      </c>
      <c r="AK179" s="118">
        <f>AJ179/[2]Popn!$H$40*1000</f>
        <v>39.045474764174365</v>
      </c>
      <c r="AL179" s="119"/>
      <c r="AM179" s="109"/>
      <c r="AN179" s="110"/>
      <c r="AO179" s="110"/>
      <c r="AP179" s="111"/>
      <c r="AQ179" s="116"/>
      <c r="AR179" s="113"/>
      <c r="AS179" s="113"/>
      <c r="AT179" s="113"/>
      <c r="AU179" s="120"/>
      <c r="AV179" s="113"/>
      <c r="AW179" s="114"/>
      <c r="AX179" s="110"/>
      <c r="AY179" s="112"/>
      <c r="AZ179" s="113"/>
      <c r="BA179" s="113"/>
      <c r="BB179" s="113"/>
      <c r="BC179" s="121"/>
      <c r="BG179" s="144"/>
    </row>
    <row r="180" spans="1:80">
      <c r="A180" s="699"/>
      <c r="B180" s="23" t="s">
        <v>7</v>
      </c>
      <c r="C180" s="17" t="s">
        <v>9</v>
      </c>
      <c r="D180" s="57"/>
      <c r="E180" s="2"/>
      <c r="F180" s="2"/>
      <c r="G180" s="63"/>
      <c r="H180" s="2"/>
      <c r="I180" s="20">
        <f>D191*[2]VIC!K$17/(1-[2]VIC!$K$25)</f>
        <v>64657.166079757015</v>
      </c>
      <c r="J180" s="21">
        <f>E191*[2]VIC!L$31*[2]VIC!L$17/(1-[2]VIC!$L$25)</f>
        <v>102732.06711959369</v>
      </c>
      <c r="K180" s="21">
        <f>E191*[2]VIC!M$31*[2]VIC!M$17/(1-[2]VIC!$M$25)</f>
        <v>9414.2778196876825</v>
      </c>
      <c r="L180" s="22">
        <f>SUM(I180:K180)</f>
        <v>176803.51101903839</v>
      </c>
      <c r="M180" s="212" t="s">
        <v>54</v>
      </c>
      <c r="N180" s="20"/>
      <c r="O180" s="21"/>
      <c r="P180" s="21"/>
      <c r="Q180" s="21"/>
      <c r="R180" s="34"/>
      <c r="T180" s="201">
        <f>SUMIF([2]VIC!$D$75:$D$108,$C180,[2]VIC!K$75:K$108)</f>
        <v>4343</v>
      </c>
      <c r="U180" s="198">
        <f>SUMIF([2]VIC!$D$75:$D$108,$C180,[2]VIC!L$75:L$108)-AN181</f>
        <v>25889</v>
      </c>
      <c r="V180" s="198">
        <f>SUMIF([2]VIC!$D$75:$D$108,$C180,[2]VIC!M$75:M$108)</f>
        <v>0</v>
      </c>
      <c r="W180" s="63"/>
      <c r="X180" s="2"/>
      <c r="Y180" s="2"/>
      <c r="Z180" s="2"/>
      <c r="AA180" s="68"/>
      <c r="AB180" s="21"/>
      <c r="AC180" s="21"/>
      <c r="AD180" s="21"/>
      <c r="AE180" s="21"/>
      <c r="AF180" s="355"/>
      <c r="AG180" s="20">
        <f t="shared" si="52"/>
        <v>4343</v>
      </c>
      <c r="AH180" s="21">
        <f t="shared" si="52"/>
        <v>25889</v>
      </c>
      <c r="AI180" s="21">
        <f t="shared" si="52"/>
        <v>0</v>
      </c>
      <c r="AJ180" s="21">
        <f>SUM(AG180:AI180)</f>
        <v>30232</v>
      </c>
      <c r="AK180" s="29">
        <f>AJ180/[2]Popn!$H$40*1000</f>
        <v>5.8416817674681401</v>
      </c>
      <c r="AL180" s="19"/>
      <c r="AM180" s="57"/>
      <c r="AN180" s="2"/>
      <c r="AO180" s="2"/>
      <c r="AP180" s="63"/>
      <c r="AQ180" s="68"/>
      <c r="AR180" s="21"/>
      <c r="AS180" s="35"/>
      <c r="AT180" s="21"/>
      <c r="AU180" s="25"/>
      <c r="AV180" s="21"/>
      <c r="AW180" s="22"/>
      <c r="AX180" s="2"/>
      <c r="AY180" s="20"/>
      <c r="AZ180" s="21"/>
      <c r="BA180" s="21"/>
      <c r="BB180" s="21"/>
      <c r="BC180" s="29"/>
      <c r="BU180" s="106"/>
      <c r="BV180" s="106"/>
      <c r="BW180" s="106"/>
      <c r="BX180" s="106"/>
      <c r="BY180" s="106"/>
      <c r="BZ180" s="106"/>
      <c r="CA180" s="106"/>
      <c r="CB180" s="106"/>
    </row>
    <row r="181" spans="1:80">
      <c r="A181" s="699"/>
      <c r="B181" s="23"/>
      <c r="C181" s="17" t="s">
        <v>10</v>
      </c>
      <c r="D181" s="57"/>
      <c r="E181" s="2"/>
      <c r="F181" s="2"/>
      <c r="G181" s="63"/>
      <c r="H181" s="2"/>
      <c r="I181" s="20"/>
      <c r="J181" s="21"/>
      <c r="K181" s="21"/>
      <c r="L181" s="22"/>
      <c r="M181" s="212"/>
      <c r="N181" s="23"/>
      <c r="O181" s="19"/>
      <c r="P181" s="19"/>
      <c r="Q181" s="19"/>
      <c r="R181" s="33"/>
      <c r="T181" s="201">
        <f>SUMIF([2]VIC!$D$75:$D$108,$C181,[2]VIC!K$75:K$108)</f>
        <v>59701</v>
      </c>
      <c r="U181" s="198">
        <f>SUMIF([2]VIC!$D$75:$D$108,$C181,[2]VIC!L$75:L$108)</f>
        <v>4820.5</v>
      </c>
      <c r="V181" s="198">
        <f>SUMIF([2]VIC!$D$75:$D$108,$C181,[2]VIC!M$75:M$108)</f>
        <v>0</v>
      </c>
      <c r="W181" s="63"/>
      <c r="X181" s="2"/>
      <c r="Y181" s="2"/>
      <c r="Z181" s="2"/>
      <c r="AA181" s="68"/>
      <c r="AB181" s="21"/>
      <c r="AC181" s="21"/>
      <c r="AD181" s="21"/>
      <c r="AE181" s="21"/>
      <c r="AF181" s="355"/>
      <c r="AG181" s="20">
        <f t="shared" si="52"/>
        <v>59701</v>
      </c>
      <c r="AH181" s="21">
        <f t="shared" si="52"/>
        <v>4820.5</v>
      </c>
      <c r="AI181" s="21">
        <f t="shared" si="52"/>
        <v>0</v>
      </c>
      <c r="AJ181" s="21">
        <f>SUM(AG181:AI181)</f>
        <v>64521.5</v>
      </c>
      <c r="AK181" s="29">
        <f>AJ181/[2]Popn!$H$40*1000</f>
        <v>12.467387872442959</v>
      </c>
      <c r="AL181" s="19"/>
      <c r="AM181" s="57"/>
      <c r="AN181" s="198">
        <f>[2]VIC!$B$308</f>
        <v>3472</v>
      </c>
      <c r="AO181" s="2"/>
      <c r="AP181" s="199">
        <f>SUM(AM181:AO181)</f>
        <v>3472</v>
      </c>
      <c r="AQ181" s="68"/>
      <c r="AR181" s="21"/>
      <c r="AS181" s="35"/>
      <c r="AT181" s="21"/>
      <c r="AU181" s="25"/>
      <c r="AV181" s="21"/>
      <c r="AW181" s="22"/>
      <c r="AX181" s="2"/>
      <c r="AY181" s="23"/>
      <c r="AZ181" s="21">
        <f>AN181</f>
        <v>3472</v>
      </c>
      <c r="BA181" s="19"/>
      <c r="BB181" s="21">
        <f>SUM(AY181:BA181)</f>
        <v>3472</v>
      </c>
      <c r="BC181" s="29"/>
    </row>
    <row r="182" spans="1:80" s="106" customFormat="1">
      <c r="A182" s="699"/>
      <c r="B182" s="107" t="s">
        <v>67</v>
      </c>
      <c r="C182" s="108"/>
      <c r="D182" s="109"/>
      <c r="E182" s="110"/>
      <c r="F182" s="110"/>
      <c r="G182" s="111"/>
      <c r="H182" s="110"/>
      <c r="I182" s="112">
        <f>SUM(I180:I181)</f>
        <v>64657.166079757015</v>
      </c>
      <c r="J182" s="113">
        <f>SUM(J180:J181)</f>
        <v>102732.06711959369</v>
      </c>
      <c r="K182" s="113">
        <f>SUM(K180:K181)</f>
        <v>9414.2778196876825</v>
      </c>
      <c r="L182" s="114">
        <f>SUM(L180:L181)</f>
        <v>176803.51101903839</v>
      </c>
      <c r="M182" s="562"/>
      <c r="N182" s="112">
        <f>I182-AU182</f>
        <v>57677.14988210173</v>
      </c>
      <c r="O182" s="113">
        <f>J182-AV182</f>
        <v>98676.313427936751</v>
      </c>
      <c r="P182" s="113">
        <f>K182-AW182</f>
        <v>9198.3206149839207</v>
      </c>
      <c r="Q182" s="114">
        <f>SUM(N182:P182)</f>
        <v>165551.78392502241</v>
      </c>
      <c r="R182" s="115">
        <f>Q182/[2]Popn!$H$40*1000</f>
        <v>31.989310588999349</v>
      </c>
      <c r="T182" s="109"/>
      <c r="U182" s="110"/>
      <c r="V182" s="110"/>
      <c r="W182" s="111"/>
      <c r="X182" s="110"/>
      <c r="Y182" s="110"/>
      <c r="Z182" s="110"/>
      <c r="AA182" s="116"/>
      <c r="AB182" s="113"/>
      <c r="AC182" s="113"/>
      <c r="AD182" s="113"/>
      <c r="AE182" s="113"/>
      <c r="AF182" s="567"/>
      <c r="AG182" s="112">
        <f>SUM(AG180:AG181)</f>
        <v>64044</v>
      </c>
      <c r="AH182" s="113">
        <f>SUM(AH180:AH181)</f>
        <v>30709.5</v>
      </c>
      <c r="AI182" s="113">
        <f>SUM(AI180:AI181)</f>
        <v>0</v>
      </c>
      <c r="AJ182" s="113">
        <f>SUM(AJ180:AJ181)</f>
        <v>94753.5</v>
      </c>
      <c r="AK182" s="118">
        <f>SUM(AK180:AK181)</f>
        <v>18.309069639911101</v>
      </c>
      <c r="AL182" s="119"/>
      <c r="AM182" s="109"/>
      <c r="AN182" s="110"/>
      <c r="AO182" s="110"/>
      <c r="AP182" s="111"/>
      <c r="AQ182" s="116"/>
      <c r="AR182" s="113">
        <f>L182*'[2]Lfill en &amp; composn'!$D$25</f>
        <v>27846.552985498547</v>
      </c>
      <c r="AS182" s="123">
        <f>AR182/SUM($AR$148:$AR$190)</f>
        <v>7.9135998930348478E-2</v>
      </c>
      <c r="AT182" s="113">
        <f>AS182*'[2]Lfill en &amp; composn'!$H$64/'[2]Lfill en &amp; composn'!$B$25</f>
        <v>19086.691321931972</v>
      </c>
      <c r="AU182" s="120">
        <f>AT182*I182/$L182</f>
        <v>6980.0161976552845</v>
      </c>
      <c r="AV182" s="113">
        <f>AU182*J182/$L182</f>
        <v>4055.7536916569425</v>
      </c>
      <c r="AW182" s="114">
        <f>AV182*K182/$L182</f>
        <v>215.95720470376244</v>
      </c>
      <c r="AX182" s="110"/>
      <c r="AY182" s="112">
        <f>AU182</f>
        <v>6980.0161976552845</v>
      </c>
      <c r="AZ182" s="113">
        <f>AV182+AZ181</f>
        <v>7527.7536916569425</v>
      </c>
      <c r="BA182" s="113">
        <f>AW182</f>
        <v>215.95720470376244</v>
      </c>
      <c r="BB182" s="113">
        <f>SUM(AY182:BA182)</f>
        <v>14723.727094015989</v>
      </c>
      <c r="BC182" s="118">
        <f>BB182/[2]Popn!$H$40*1000</f>
        <v>2.8450426076438826</v>
      </c>
      <c r="BD182" s="122"/>
      <c r="BG182" s="144"/>
      <c r="BU182" s="6"/>
      <c r="BV182" s="6"/>
      <c r="BW182" s="6"/>
      <c r="BX182" s="6"/>
      <c r="BY182" s="6"/>
      <c r="BZ182" s="6"/>
      <c r="CA182" s="6"/>
      <c r="CB182" s="6"/>
    </row>
    <row r="183" spans="1:80">
      <c r="A183" s="699"/>
      <c r="B183" s="23" t="s">
        <v>11</v>
      </c>
      <c r="C183" s="17" t="s">
        <v>12</v>
      </c>
      <c r="D183" s="57"/>
      <c r="E183" s="2"/>
      <c r="F183" s="2"/>
      <c r="G183" s="63"/>
      <c r="H183" s="2"/>
      <c r="I183" s="20"/>
      <c r="J183" s="21"/>
      <c r="K183" s="21"/>
      <c r="L183" s="22"/>
      <c r="M183" s="212"/>
      <c r="N183" s="23"/>
      <c r="O183" s="19"/>
      <c r="P183" s="19"/>
      <c r="Q183" s="19"/>
      <c r="R183" s="33"/>
      <c r="T183" s="57"/>
      <c r="U183" s="2"/>
      <c r="V183" s="2"/>
      <c r="W183" s="63"/>
      <c r="X183" s="2"/>
      <c r="Y183" s="2"/>
      <c r="Z183" s="2"/>
      <c r="AA183" s="68"/>
      <c r="AB183" s="21"/>
      <c r="AC183" s="21"/>
      <c r="AD183" s="21"/>
      <c r="AE183" s="21"/>
      <c r="AF183" s="355"/>
      <c r="AG183" s="20"/>
      <c r="AH183" s="21"/>
      <c r="AI183" s="21"/>
      <c r="AJ183" s="21"/>
      <c r="AK183" s="29"/>
      <c r="AL183" s="19"/>
      <c r="AM183" s="57"/>
      <c r="AN183" s="2"/>
      <c r="AO183" s="2"/>
      <c r="AP183" s="63"/>
      <c r="AQ183" s="68"/>
      <c r="AR183" s="21"/>
      <c r="AS183" s="21"/>
      <c r="AT183" s="21"/>
      <c r="AU183" s="25"/>
      <c r="AV183" s="21"/>
      <c r="AW183" s="22"/>
      <c r="AX183" s="2"/>
      <c r="AY183" s="23"/>
      <c r="AZ183" s="19"/>
      <c r="BA183" s="19"/>
      <c r="BB183" s="19"/>
      <c r="BC183" s="24"/>
      <c r="BU183" s="106"/>
      <c r="BV183" s="106"/>
      <c r="BW183" s="106"/>
      <c r="BX183" s="106"/>
      <c r="BY183" s="106"/>
      <c r="BZ183" s="106"/>
      <c r="CA183" s="106"/>
      <c r="CB183" s="106"/>
    </row>
    <row r="184" spans="1:80">
      <c r="A184" s="699"/>
      <c r="B184" s="23"/>
      <c r="C184" s="17" t="s">
        <v>13</v>
      </c>
      <c r="D184" s="57"/>
      <c r="E184" s="2"/>
      <c r="F184" s="2"/>
      <c r="G184" s="156">
        <f>'[2]Haz-Vic'!$H$11</f>
        <v>603021</v>
      </c>
      <c r="H184" s="3"/>
      <c r="I184" s="20"/>
      <c r="J184" s="21"/>
      <c r="K184" s="21">
        <f>G184</f>
        <v>603021</v>
      </c>
      <c r="L184" s="22">
        <f>G184</f>
        <v>603021</v>
      </c>
      <c r="M184" s="212" t="s">
        <v>84</v>
      </c>
      <c r="N184" s="20"/>
      <c r="O184" s="21"/>
      <c r="P184" s="21">
        <f>K184</f>
        <v>603021</v>
      </c>
      <c r="Q184" s="21">
        <f>SUM(N184:P184)</f>
        <v>603021</v>
      </c>
      <c r="R184" s="34">
        <f>Q184/[2]Popn!$H$40*1000</f>
        <v>116.52079852806314</v>
      </c>
      <c r="T184" s="57"/>
      <c r="U184" s="2"/>
      <c r="V184" s="2"/>
      <c r="W184" s="64"/>
      <c r="X184" s="3"/>
      <c r="Y184" s="3"/>
      <c r="Z184" s="3"/>
      <c r="AA184" s="69"/>
      <c r="AB184" s="21"/>
      <c r="AC184" s="21"/>
      <c r="AD184" s="21"/>
      <c r="AE184" s="21"/>
      <c r="AF184" s="355"/>
      <c r="AG184" s="20"/>
      <c r="AH184" s="21"/>
      <c r="AI184" s="21"/>
      <c r="AJ184" s="21"/>
      <c r="AK184" s="29"/>
      <c r="AL184" s="19"/>
      <c r="AM184" s="57"/>
      <c r="AN184" s="2"/>
      <c r="AO184" s="2"/>
      <c r="AP184" s="64"/>
      <c r="AQ184" s="69"/>
      <c r="AR184" s="21"/>
      <c r="AS184" s="21"/>
      <c r="AT184" s="21"/>
      <c r="AU184" s="25"/>
      <c r="AV184" s="21"/>
      <c r="AW184" s="22"/>
      <c r="AX184" s="2"/>
      <c r="AY184" s="20"/>
      <c r="AZ184" s="21"/>
      <c r="BA184" s="21"/>
      <c r="BB184" s="21"/>
      <c r="BC184" s="24"/>
    </row>
    <row r="185" spans="1:80">
      <c r="A185" s="699"/>
      <c r="B185" s="23"/>
      <c r="C185" s="17" t="s">
        <v>14</v>
      </c>
      <c r="D185" s="57"/>
      <c r="E185" s="2"/>
      <c r="F185" s="2"/>
      <c r="G185" s="156">
        <f>'[2]Haz-Vic'!$E$14</f>
        <v>88572</v>
      </c>
      <c r="H185" s="3"/>
      <c r="I185" s="20"/>
      <c r="J185" s="21">
        <f>G185</f>
        <v>88572</v>
      </c>
      <c r="K185" s="21"/>
      <c r="L185" s="22">
        <f>G185</f>
        <v>88572</v>
      </c>
      <c r="M185" s="212" t="s">
        <v>85</v>
      </c>
      <c r="N185" s="23"/>
      <c r="O185" s="21">
        <f>J185</f>
        <v>88572</v>
      </c>
      <c r="P185" s="19"/>
      <c r="Q185" s="21">
        <f>SUM(N185:P185)</f>
        <v>88572</v>
      </c>
      <c r="R185" s="34">
        <f>Q185/[2]Popn!$H$40*1000</f>
        <v>17.114628126097777</v>
      </c>
      <c r="T185" s="57"/>
      <c r="U185" s="2"/>
      <c r="V185" s="2"/>
      <c r="W185" s="64"/>
      <c r="X185" s="3"/>
      <c r="Y185" s="3"/>
      <c r="Z185" s="3"/>
      <c r="AA185" s="69"/>
      <c r="AB185" s="21"/>
      <c r="AC185" s="21"/>
      <c r="AD185" s="21"/>
      <c r="AE185" s="21"/>
      <c r="AF185" s="355"/>
      <c r="AG185" s="20"/>
      <c r="AH185" s="21"/>
      <c r="AI185" s="21"/>
      <c r="AJ185" s="21"/>
      <c r="AK185" s="29"/>
      <c r="AL185" s="19"/>
      <c r="AM185" s="57"/>
      <c r="AN185" s="2"/>
      <c r="AO185" s="2"/>
      <c r="AP185" s="64"/>
      <c r="AQ185" s="70">
        <f>[2]VIC!$D$354</f>
        <v>8480</v>
      </c>
      <c r="AR185" s="21"/>
      <c r="AS185" s="21"/>
      <c r="AT185" s="21"/>
      <c r="AU185" s="25"/>
      <c r="AV185" s="21"/>
      <c r="AW185" s="22"/>
      <c r="AX185" s="2"/>
      <c r="AY185" s="23"/>
      <c r="AZ185" s="19"/>
      <c r="BA185" s="19"/>
      <c r="BB185" s="21"/>
      <c r="BC185" s="24"/>
    </row>
    <row r="186" spans="1:80">
      <c r="A186" s="699"/>
      <c r="B186" s="23"/>
      <c r="C186" s="17" t="s">
        <v>15</v>
      </c>
      <c r="D186" s="57"/>
      <c r="E186" s="2"/>
      <c r="F186" s="2"/>
      <c r="G186" s="156">
        <f>'[2]Haz-Vic'!$E$12</f>
        <v>42195</v>
      </c>
      <c r="H186" s="3"/>
      <c r="I186" s="20"/>
      <c r="J186" s="21">
        <f>G186</f>
        <v>42195</v>
      </c>
      <c r="K186" s="21"/>
      <c r="L186" s="22">
        <f>G186</f>
        <v>42195</v>
      </c>
      <c r="M186" s="212" t="s">
        <v>85</v>
      </c>
      <c r="N186" s="23"/>
      <c r="O186" s="21">
        <f>J186</f>
        <v>42195</v>
      </c>
      <c r="P186" s="19"/>
      <c r="Q186" s="21">
        <f>SUM(N186:P186)</f>
        <v>42195</v>
      </c>
      <c r="R186" s="34">
        <f>Q186/[2]Popn!$H$40*1000</f>
        <v>8.1532734247922125</v>
      </c>
      <c r="T186" s="57"/>
      <c r="U186" s="2"/>
      <c r="V186" s="2"/>
      <c r="W186" s="64"/>
      <c r="X186" s="3"/>
      <c r="Y186" s="3"/>
      <c r="Z186" s="3"/>
      <c r="AA186" s="69"/>
      <c r="AB186" s="21"/>
      <c r="AC186" s="21"/>
      <c r="AD186" s="21"/>
      <c r="AE186" s="21"/>
      <c r="AF186" s="355"/>
      <c r="AG186" s="20"/>
      <c r="AH186" s="21"/>
      <c r="AI186" s="21"/>
      <c r="AJ186" s="21"/>
      <c r="AK186" s="29"/>
      <c r="AL186" s="19"/>
      <c r="AM186" s="57"/>
      <c r="AN186" s="2"/>
      <c r="AO186" s="2"/>
      <c r="AP186" s="64"/>
      <c r="AQ186" s="69"/>
      <c r="AR186" s="21"/>
      <c r="AS186" s="21"/>
      <c r="AT186" s="21"/>
      <c r="AU186" s="25"/>
      <c r="AV186" s="21"/>
      <c r="AW186" s="22"/>
      <c r="AX186" s="2"/>
      <c r="AY186" s="23"/>
      <c r="AZ186" s="19"/>
      <c r="BA186" s="19"/>
      <c r="BB186" s="21"/>
      <c r="BC186" s="24"/>
    </row>
    <row r="187" spans="1:80" s="106" customFormat="1">
      <c r="A187" s="699"/>
      <c r="B187" s="107" t="s">
        <v>67</v>
      </c>
      <c r="C187" s="108"/>
      <c r="D187" s="109"/>
      <c r="E187" s="110"/>
      <c r="F187" s="110"/>
      <c r="G187" s="124"/>
      <c r="H187" s="125"/>
      <c r="I187" s="112">
        <f>SUM(I184:I186)</f>
        <v>0</v>
      </c>
      <c r="J187" s="113">
        <f>SUM(J184:J186)</f>
        <v>130767</v>
      </c>
      <c r="K187" s="113">
        <f>SUM(K184:K186)</f>
        <v>603021</v>
      </c>
      <c r="L187" s="114">
        <f>SUM(L184:L186)</f>
        <v>733788</v>
      </c>
      <c r="M187" s="562"/>
      <c r="N187" s="112">
        <f>I187</f>
        <v>0</v>
      </c>
      <c r="O187" s="113">
        <f>SUM(O184:O186)</f>
        <v>130767</v>
      </c>
      <c r="P187" s="113">
        <f>SUM(P184:P186)</f>
        <v>603021</v>
      </c>
      <c r="Q187" s="114">
        <f>SUM(Q184:Q186)</f>
        <v>733788</v>
      </c>
      <c r="R187" s="115">
        <f>SUM(R184:R186)</f>
        <v>141.78870007895313</v>
      </c>
      <c r="T187" s="109"/>
      <c r="U187" s="110"/>
      <c r="V187" s="110"/>
      <c r="W187" s="124"/>
      <c r="X187" s="125"/>
      <c r="Y187" s="125"/>
      <c r="Z187" s="125"/>
      <c r="AA187" s="126"/>
      <c r="AB187" s="113"/>
      <c r="AC187" s="113"/>
      <c r="AD187" s="113"/>
      <c r="AE187" s="113"/>
      <c r="AF187" s="567"/>
      <c r="AG187" s="112">
        <f>SUM(AG183:AG186)</f>
        <v>0</v>
      </c>
      <c r="AH187" s="113">
        <f>SUM(AH183:AH186)</f>
        <v>0</v>
      </c>
      <c r="AI187" s="113">
        <f>SUM(AI183:AI186)</f>
        <v>0</v>
      </c>
      <c r="AJ187" s="113">
        <f>SUM(AJ183:AJ186)</f>
        <v>0</v>
      </c>
      <c r="AK187" s="118">
        <f>SUM(AK183:AK186)</f>
        <v>0</v>
      </c>
      <c r="AL187" s="119"/>
      <c r="AM187" s="109"/>
      <c r="AN187" s="110"/>
      <c r="AO187" s="110"/>
      <c r="AP187" s="124"/>
      <c r="AQ187" s="126"/>
      <c r="AR187" s="113"/>
      <c r="AS187" s="113"/>
      <c r="AT187" s="113"/>
      <c r="AU187" s="120"/>
      <c r="AV187" s="113"/>
      <c r="AW187" s="114"/>
      <c r="AX187" s="110"/>
      <c r="AY187" s="127"/>
      <c r="AZ187" s="119"/>
      <c r="BA187" s="119"/>
      <c r="BB187" s="113"/>
      <c r="BC187" s="121"/>
      <c r="BG187" s="144"/>
      <c r="BU187" s="6"/>
      <c r="BV187" s="6"/>
      <c r="BW187" s="6"/>
      <c r="BX187" s="6"/>
      <c r="BY187" s="6"/>
      <c r="BZ187" s="6"/>
      <c r="CA187" s="6"/>
      <c r="CB187" s="6"/>
    </row>
    <row r="188" spans="1:80" s="106" customFormat="1" ht="13.5" thickBot="1">
      <c r="A188" s="699"/>
      <c r="B188" s="131" t="s">
        <v>37</v>
      </c>
      <c r="C188" s="132" t="s">
        <v>1</v>
      </c>
      <c r="D188" s="109"/>
      <c r="E188" s="110"/>
      <c r="F188" s="110"/>
      <c r="G188" s="111"/>
      <c r="H188" s="130">
        <f>'[2]Fly ash'!$E$260</f>
        <v>1724555.1973080453</v>
      </c>
      <c r="I188" s="112"/>
      <c r="J188" s="113"/>
      <c r="K188" s="113"/>
      <c r="L188" s="114"/>
      <c r="M188" s="562"/>
      <c r="N188" s="127"/>
      <c r="O188" s="119"/>
      <c r="P188" s="119"/>
      <c r="Q188" s="113">
        <f>H188</f>
        <v>1724555.1973080453</v>
      </c>
      <c r="R188" s="115">
        <f>Q188/[2]Popn!$H$40*1000</f>
        <v>333.23308590588874</v>
      </c>
      <c r="T188" s="109"/>
      <c r="U188" s="110"/>
      <c r="V188" s="110"/>
      <c r="W188" s="111"/>
      <c r="X188" s="110"/>
      <c r="Y188" s="110"/>
      <c r="Z188" s="110"/>
      <c r="AA188" s="117">
        <f>'[2]Fly ash'!$E$252</f>
        <v>1042203.5591924135</v>
      </c>
      <c r="AB188" s="113"/>
      <c r="AC188" s="113"/>
      <c r="AD188" s="113"/>
      <c r="AE188" s="113"/>
      <c r="AF188" s="567"/>
      <c r="AG188" s="112"/>
      <c r="AH188" s="113"/>
      <c r="AI188" s="113"/>
      <c r="AJ188" s="113">
        <f>AA188</f>
        <v>1042203.5591924135</v>
      </c>
      <c r="AK188" s="115">
        <f>AJ188/[2]Popn!$H$40*1000</f>
        <v>201.38335306048967</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80" ht="13.5" thickBot="1">
      <c r="B189" s="19"/>
      <c r="C189" s="38"/>
      <c r="D189" s="57"/>
      <c r="E189" s="2"/>
      <c r="F189" s="2"/>
      <c r="G189" s="63"/>
      <c r="H189" s="2"/>
      <c r="I189" s="20"/>
      <c r="J189" s="21"/>
      <c r="K189" s="21"/>
      <c r="L189" s="22"/>
      <c r="M189" s="212"/>
      <c r="N189" s="23"/>
      <c r="O189" s="19"/>
      <c r="P189" s="19"/>
      <c r="Q189" s="19"/>
      <c r="R189" s="24"/>
      <c r="T189" s="57"/>
      <c r="U189" s="2"/>
      <c r="V189" s="2"/>
      <c r="W189" s="63"/>
      <c r="X189" s="2"/>
      <c r="Y189" s="2"/>
      <c r="Z189" s="2"/>
      <c r="AA189" s="68"/>
      <c r="AB189" s="21"/>
      <c r="AC189" s="21"/>
      <c r="AD189" s="21"/>
      <c r="AE189" s="21"/>
      <c r="AF189" s="355"/>
      <c r="AG189" s="20"/>
      <c r="AH189" s="21"/>
      <c r="AI189" s="21"/>
      <c r="AJ189" s="21"/>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c r="CB189" s="106"/>
    </row>
    <row r="190" spans="1:80" ht="13.5" thickBot="1">
      <c r="C190" s="39" t="s">
        <v>38</v>
      </c>
      <c r="D190" s="58"/>
      <c r="E190" s="59"/>
      <c r="F190" s="2"/>
      <c r="G190" s="65"/>
      <c r="H190" s="2"/>
      <c r="I190" s="20"/>
      <c r="J190" s="21"/>
      <c r="K190" s="21"/>
      <c r="L190" s="22"/>
      <c r="M190" s="212" t="s">
        <v>51</v>
      </c>
      <c r="N190" s="23"/>
      <c r="O190" s="19"/>
      <c r="P190" s="19"/>
      <c r="Q190" s="19"/>
      <c r="R190" s="24"/>
      <c r="T190" s="58"/>
      <c r="U190" s="59"/>
      <c r="V190" s="2"/>
      <c r="W190" s="65"/>
      <c r="X190" s="2"/>
      <c r="Y190" s="2"/>
      <c r="Z190" s="2"/>
      <c r="AA190" s="68"/>
      <c r="AB190" s="21"/>
      <c r="AC190" s="21"/>
      <c r="AD190" s="21"/>
      <c r="AE190" s="21"/>
      <c r="AF190" s="355"/>
      <c r="AG190" s="20"/>
      <c r="AH190" s="21"/>
      <c r="AI190" s="21"/>
      <c r="AJ190" s="21"/>
      <c r="AK190" s="40"/>
      <c r="AL190" s="19"/>
      <c r="AM190" s="58"/>
      <c r="AN190" s="59"/>
      <c r="AO190" s="2"/>
      <c r="AP190" s="65"/>
      <c r="AQ190" s="68"/>
      <c r="AR190" s="21"/>
      <c r="AS190" s="21"/>
      <c r="AT190" s="21"/>
      <c r="AU190" s="25"/>
      <c r="AV190" s="21"/>
      <c r="AW190" s="22"/>
      <c r="AX190" s="2" t="s">
        <v>52</v>
      </c>
      <c r="AY190" s="23"/>
      <c r="AZ190" s="19"/>
      <c r="BA190" s="19"/>
      <c r="BB190" s="19"/>
      <c r="BC190" s="24"/>
    </row>
    <row r="191" spans="1:80" ht="13.5" thickBot="1">
      <c r="C191" s="135" t="s">
        <v>92</v>
      </c>
      <c r="D191" s="134">
        <f>[2]VIC!$B$67</f>
        <v>1860110.3581000001</v>
      </c>
      <c r="E191" s="706">
        <f>[2]VIC!$C$67</f>
        <v>2577115.3419499998</v>
      </c>
      <c r="F191" s="707"/>
      <c r="G191" s="66">
        <f>SUM(D191:F191,G184:G186)</f>
        <v>5171013.7000500001</v>
      </c>
      <c r="H191" s="4"/>
      <c r="I191" s="41">
        <f>SUM(I187,I182,I179,I177,I172,I168,I163,I157,I153)</f>
        <v>1860110.3581000001</v>
      </c>
      <c r="J191" s="727">
        <f>SUM(J153:K153,J157:K157,J163:K163,J168:K168,J172:K172,J177:K179,J182:K182,J187:K187)</f>
        <v>3310903.3419500003</v>
      </c>
      <c r="K191" s="728"/>
      <c r="L191" s="42">
        <f>SUM(L187,L182,L179,L177,L172,L168,L163,L157,L153)</f>
        <v>5171013.7000500001</v>
      </c>
      <c r="M191" s="563"/>
      <c r="N191" s="44">
        <f>SUM(N187,N182,N179,N178,N168,N163,N157,N153)</f>
        <v>1672330.8326079859</v>
      </c>
      <c r="O191" s="45">
        <f>SUM(O187,O182,O179,O178,O168,O163,O157,O153)</f>
        <v>1661901.3036214404</v>
      </c>
      <c r="P191" s="45">
        <f>SUM(P187,P182,P179,P178,P168,P163,P157,P153)</f>
        <v>1581437.3333958061</v>
      </c>
      <c r="Q191" s="133">
        <f>SUM(Q187,Q182,Q179,Q178,Q168,Q163,Q157,Q153,Q190)</f>
        <v>4915669.4696252327</v>
      </c>
      <c r="R191" s="27">
        <f>SUM(R187,R182,R179,R178,R168,R163,R157,R153)</f>
        <v>949.84707315458786</v>
      </c>
      <c r="T191" s="60"/>
      <c r="U191" s="706"/>
      <c r="V191" s="707"/>
      <c r="W191" s="66"/>
      <c r="X191" s="61"/>
      <c r="Y191" s="61"/>
      <c r="Z191" s="61"/>
      <c r="AA191" s="71"/>
      <c r="AB191" s="45"/>
      <c r="AC191" s="45"/>
      <c r="AD191" s="45"/>
      <c r="AE191" s="45"/>
      <c r="AF191" s="555"/>
      <c r="AG191" s="44">
        <f>SUM(AG187,AG182,AG179,AG178,AG168,AG163,AG157,AG153)</f>
        <v>1125752.3003</v>
      </c>
      <c r="AH191" s="45">
        <f>SUM(AH187,AH182,AH179,AH178,AH168,AH163,AH157,AH153)</f>
        <v>2273039.6735999999</v>
      </c>
      <c r="AI191" s="45">
        <f>SUM(AI187,AI182,AI179,AI178,AI168,AI163,AI157,AI153)</f>
        <v>2456259.5260999999</v>
      </c>
      <c r="AJ191" s="354">
        <f>SUM(AJ187,AJ182,AJ179,AJ178,AJ168,AJ163,AJ157,AJ153,AJ190)</f>
        <v>5855051.5</v>
      </c>
      <c r="AK191" s="27">
        <f>SUM(AK187,AK182,AK179,AK178,AK168,AK163,AK157,AK153,AK190)</f>
        <v>1130.2591426986355</v>
      </c>
      <c r="AL191" s="19"/>
      <c r="AM191" s="60"/>
      <c r="AN191" s="706"/>
      <c r="AO191" s="707"/>
      <c r="AP191" s="66"/>
      <c r="AQ191" s="71"/>
      <c r="AR191" s="43"/>
      <c r="AS191" s="46">
        <f>SUM(AS148:AS190)</f>
        <v>1</v>
      </c>
      <c r="AT191" s="45">
        <f>SUM(AT148:AT190)</f>
        <v>331688.03734740388</v>
      </c>
      <c r="AU191" s="47"/>
      <c r="AV191" s="45"/>
      <c r="AW191" s="48"/>
      <c r="AX191" s="43"/>
      <c r="AY191" s="44">
        <f>SUM(AY187,AY182,AY179,AY178,AY168,AY163,AY157,AY153)</f>
        <v>187779.52549201422</v>
      </c>
      <c r="AZ191" s="45">
        <f>SUM(AZ187,AZ182,AZ179,AZ178,AZ168,AZ163,AZ157,AZ153)</f>
        <v>70149.208387559484</v>
      </c>
      <c r="BA191" s="45">
        <f>SUM(BA187,BA182,BA179,BA178,BA168,BA163,BA157,BA153)</f>
        <v>887.49654519371074</v>
      </c>
      <c r="BB191" s="354">
        <f>SUM(BB187,BB182,BB179,BB178,BB168,BB163,BB157,BB153,BB190)</f>
        <v>258816.23042476742</v>
      </c>
      <c r="BC191" s="27">
        <f>SUM(BC187,BC182,BC179,BC178,BC168,BC163,BC157,BC153,BC190)</f>
        <v>50.010652765189086</v>
      </c>
    </row>
    <row r="192" spans="1:80" ht="13.5" thickBot="1">
      <c r="C192" s="136" t="s">
        <v>65</v>
      </c>
      <c r="Q192" s="49">
        <f>Q191+Q188</f>
        <v>6640224.6669332776</v>
      </c>
      <c r="R192" s="216">
        <f>R191+R188</f>
        <v>1283.0801590604765</v>
      </c>
      <c r="AJ192" s="353">
        <f>AJ191+AJ188</f>
        <v>6897255.0591924135</v>
      </c>
      <c r="AK192" s="216">
        <f>AK191+AK188</f>
        <v>1331.6424957591253</v>
      </c>
      <c r="BB192" s="353">
        <f>BB191+BB188</f>
        <v>258816.23042476742</v>
      </c>
      <c r="BC192" s="216">
        <f>BC191+BC188</f>
        <v>50.010652765189086</v>
      </c>
    </row>
    <row r="194" spans="3:3">
      <c r="C194" s="89"/>
    </row>
  </sheetData>
  <mergeCells count="48">
    <mergeCell ref="BH101:BL101"/>
    <mergeCell ref="BM101:BN101"/>
    <mergeCell ref="BH102:BK102"/>
    <mergeCell ref="E144:F144"/>
    <mergeCell ref="J144:K144"/>
    <mergeCell ref="U144:V144"/>
    <mergeCell ref="AN144:AO144"/>
    <mergeCell ref="BH148:BL148"/>
    <mergeCell ref="BM148:BN148"/>
    <mergeCell ref="BH149:BK149"/>
    <mergeCell ref="E191:F191"/>
    <mergeCell ref="J191:K191"/>
    <mergeCell ref="U191:V191"/>
    <mergeCell ref="AN191:AO191"/>
    <mergeCell ref="J97:K97"/>
    <mergeCell ref="U97:V97"/>
    <mergeCell ref="AN97:AO97"/>
    <mergeCell ref="BH8:BK8"/>
    <mergeCell ref="BC5:BC6"/>
    <mergeCell ref="BH55:BK55"/>
    <mergeCell ref="BH7:BL7"/>
    <mergeCell ref="BM7:BN7"/>
    <mergeCell ref="BH54:BL54"/>
    <mergeCell ref="BM54:BN54"/>
    <mergeCell ref="AG5:AJ5"/>
    <mergeCell ref="AY5:BB5"/>
    <mergeCell ref="N4:R4"/>
    <mergeCell ref="AM5:AP5"/>
    <mergeCell ref="AN50:AO50"/>
    <mergeCell ref="T4:AA4"/>
    <mergeCell ref="R5:R6"/>
    <mergeCell ref="AK5:AK6"/>
    <mergeCell ref="A7:A47"/>
    <mergeCell ref="A54:A94"/>
    <mergeCell ref="A101:A141"/>
    <mergeCell ref="A148:A188"/>
    <mergeCell ref="X5:AA5"/>
    <mergeCell ref="D5:G5"/>
    <mergeCell ref="I5:L5"/>
    <mergeCell ref="N5:Q5"/>
    <mergeCell ref="E50:F50"/>
    <mergeCell ref="J50:K50"/>
    <mergeCell ref="T5:W5"/>
    <mergeCell ref="U50:V50"/>
    <mergeCell ref="H5:H6"/>
    <mergeCell ref="B5:B6"/>
    <mergeCell ref="C5:C6"/>
    <mergeCell ref="E97:F97"/>
  </mergeCells>
  <pageMargins left="0.7" right="0.7" top="0.75" bottom="0.75" header="0.3" footer="0.3"/>
  <pageSetup paperSize="8" scale="17" orientation="landscape" r:id="rId1"/>
  <colBreaks count="1" manualBreakCount="1">
    <brk id="18" max="41" man="1"/>
  </colBreaks>
  <ignoredErrors>
    <ignoredError sqref="AG12:AK12 AZ17:AZ20 N37:R37 R46 Q50 AG16:AK16 AG13:AJ13 AG14:AJ14 AG15:AJ15 AG22:AK22 AG17:AJ17 AG18:AJ18 AG19:AJ19 AG20:AJ20 AG21:AJ21" formula="1"/>
  </ignoredErrors>
  <drawing r:id="rId2"/>
</worksheet>
</file>

<file path=xl/worksheets/sheet9.xml><?xml version="1.0" encoding="utf-8"?>
<worksheet xmlns="http://schemas.openxmlformats.org/spreadsheetml/2006/main" xmlns:r="http://schemas.openxmlformats.org/officeDocument/2006/relationships">
  <dimension ref="A1:CF194"/>
  <sheetViews>
    <sheetView zoomScale="80" zoomScaleNormal="80" workbookViewId="0">
      <pane xSplit="3" ySplit="6" topLeftCell="N7" activePane="bottomRight" state="frozen"/>
      <selection pane="topRight" activeCell="D1" sqref="D1"/>
      <selection pane="bottomLeft" activeCell="A7" sqref="A7"/>
      <selection pane="bottomRight" activeCell="N7" sqref="N7"/>
    </sheetView>
  </sheetViews>
  <sheetFormatPr defaultRowHeight="12.75"/>
  <cols>
    <col min="1" max="1" width="7.28515625" style="6" customWidth="1"/>
    <col min="2" max="2" width="18.5703125" style="6" customWidth="1"/>
    <col min="3" max="3" width="34.7109375" style="6" customWidth="1"/>
    <col min="4" max="4" width="11.140625" style="6" hidden="1" customWidth="1"/>
    <col min="5" max="5" width="10.5703125" style="6" hidden="1" customWidth="1"/>
    <col min="6" max="6" width="10.28515625" style="6" hidden="1" customWidth="1"/>
    <col min="7" max="7" width="10.5703125" style="6" hidden="1" customWidth="1"/>
    <col min="8" max="8" width="10.42578125" style="6" hidden="1" customWidth="1"/>
    <col min="9" max="11" width="9.85546875" style="6" hidden="1" customWidth="1"/>
    <col min="12" max="12" width="11" style="6" hidden="1" customWidth="1"/>
    <col min="13" max="13" width="46.7109375" style="6" hidden="1" customWidth="1"/>
    <col min="14" max="17" width="9.7109375" style="6" customWidth="1"/>
    <col min="18" max="18" width="7.42578125" style="6" customWidth="1"/>
    <col min="19" max="19" width="2.7109375" style="6" hidden="1" customWidth="1"/>
    <col min="20" max="25" width="10" style="6" hidden="1" customWidth="1"/>
    <col min="26" max="26" width="5" style="6" hidden="1" customWidth="1"/>
    <col min="27" max="27" width="8.140625" style="6" hidden="1" customWidth="1"/>
    <col min="28" max="28" width="21.42578125" style="6" hidden="1" customWidth="1"/>
    <col min="29" max="29" width="4.28515625" style="6" hidden="1" customWidth="1"/>
    <col min="30" max="30" width="5" style="6" hidden="1" customWidth="1"/>
    <col min="31" max="31" width="5.5703125" style="6" hidden="1" customWidth="1"/>
    <col min="32" max="32" width="72.28515625" style="6" hidden="1" customWidth="1"/>
    <col min="33" max="36" width="9.7109375" style="6" customWidth="1"/>
    <col min="37" max="37" width="7.28515625" style="6" customWidth="1"/>
    <col min="38" max="38" width="2.7109375" style="6" hidden="1" customWidth="1"/>
    <col min="39" max="39" width="5.5703125" style="6" hidden="1" customWidth="1"/>
    <col min="40" max="40" width="9.28515625" style="6" hidden="1" customWidth="1"/>
    <col min="41" max="41" width="5" style="6" hidden="1" customWidth="1"/>
    <col min="42" max="42" width="11.5703125" style="6" hidden="1" customWidth="1"/>
    <col min="43" max="43" width="14.42578125" style="6" hidden="1" customWidth="1"/>
    <col min="44" max="44" width="12.7109375" style="6" hidden="1" customWidth="1"/>
    <col min="45" max="46" width="13.140625" style="6" hidden="1" customWidth="1"/>
    <col min="47" max="49" width="11" style="6" hidden="1" customWidth="1"/>
    <col min="50" max="50" width="53.5703125" style="6" hidden="1" customWidth="1"/>
    <col min="51" max="54" width="9.7109375" style="6" customWidth="1"/>
    <col min="55" max="55" width="7.42578125" style="6" customWidth="1"/>
    <col min="56" max="56" width="2.85546875" style="6" customWidth="1"/>
    <col min="57" max="58" width="9.140625" style="6"/>
    <col min="59" max="59" width="9.140625" style="140"/>
    <col min="60" max="61" width="9.140625" style="6"/>
    <col min="62" max="62" width="14.85546875" style="6" customWidth="1"/>
    <col min="63" max="63" width="13.7109375" style="6" customWidth="1"/>
    <col min="64" max="64" width="11.85546875" style="6" customWidth="1"/>
    <col min="65" max="16384" width="9.140625" style="6"/>
  </cols>
  <sheetData>
    <row r="1" spans="1:73" s="1" customFormat="1" ht="21">
      <c r="A1" s="1" t="s">
        <v>254</v>
      </c>
      <c r="F1" s="227"/>
      <c r="BG1" s="139"/>
    </row>
    <row r="2" spans="1:73" s="157" customFormat="1" ht="13.5" thickBot="1">
      <c r="BG2" s="193"/>
    </row>
    <row r="3" spans="1:73" s="160" customFormat="1" ht="19.5" customHeight="1">
      <c r="B3" s="161"/>
      <c r="C3" s="162"/>
      <c r="D3" s="165" t="s">
        <v>77</v>
      </c>
      <c r="E3" s="166"/>
      <c r="F3" s="228"/>
      <c r="G3" s="166"/>
      <c r="H3" s="166"/>
      <c r="I3" s="166"/>
      <c r="J3" s="166"/>
      <c r="K3" s="166"/>
      <c r="L3" s="166"/>
      <c r="M3" s="166"/>
      <c r="N3" s="166" t="str">
        <f>D3</f>
        <v>Disposal data</v>
      </c>
      <c r="O3" s="166"/>
      <c r="P3" s="166"/>
      <c r="Q3" s="166"/>
      <c r="R3" s="167"/>
      <c r="T3" s="168" t="s">
        <v>76</v>
      </c>
      <c r="U3" s="169"/>
      <c r="V3" s="169"/>
      <c r="W3" s="169"/>
      <c r="X3" s="169"/>
      <c r="Y3" s="169"/>
      <c r="Z3" s="169"/>
      <c r="AA3" s="169"/>
      <c r="AB3" s="169"/>
      <c r="AC3" s="169"/>
      <c r="AD3" s="169"/>
      <c r="AE3" s="169"/>
      <c r="AF3" s="169"/>
      <c r="AG3" s="539" t="str">
        <f>T3</f>
        <v xml:space="preserve">Recycling data </v>
      </c>
      <c r="AH3" s="170"/>
      <c r="AI3" s="170"/>
      <c r="AJ3" s="170"/>
      <c r="AK3" s="171"/>
      <c r="AL3" s="163"/>
      <c r="AM3" s="172" t="s">
        <v>75</v>
      </c>
      <c r="AN3" s="173"/>
      <c r="AO3" s="173"/>
      <c r="AP3" s="173"/>
      <c r="AQ3" s="173"/>
      <c r="AR3" s="173"/>
      <c r="AS3" s="173"/>
      <c r="AT3" s="173"/>
      <c r="AU3" s="174"/>
      <c r="AV3" s="174"/>
      <c r="AW3" s="174"/>
      <c r="AX3" s="173"/>
      <c r="AY3" s="538" t="str">
        <f>AM3</f>
        <v xml:space="preserve">Energy recovery data </v>
      </c>
      <c r="AZ3" s="173"/>
      <c r="BA3" s="173"/>
      <c r="BB3" s="173"/>
      <c r="BC3" s="175"/>
      <c r="BG3" s="164"/>
    </row>
    <row r="4" spans="1:73" ht="13.5" customHeight="1">
      <c r="B4" s="158"/>
      <c r="C4" s="159"/>
      <c r="D4" s="181"/>
      <c r="E4" s="182"/>
      <c r="F4" s="235" t="s">
        <v>53</v>
      </c>
      <c r="G4" s="184"/>
      <c r="H4" s="235"/>
      <c r="I4" s="185"/>
      <c r="J4" s="186"/>
      <c r="K4" s="186"/>
      <c r="L4" s="182" t="s">
        <v>41</v>
      </c>
      <c r="M4" s="187"/>
      <c r="N4" s="708" t="s">
        <v>39</v>
      </c>
      <c r="O4" s="708"/>
      <c r="P4" s="708"/>
      <c r="Q4" s="708"/>
      <c r="R4" s="709"/>
      <c r="T4" s="717" t="s">
        <v>53</v>
      </c>
      <c r="U4" s="708"/>
      <c r="V4" s="708"/>
      <c r="W4" s="708"/>
      <c r="X4" s="708"/>
      <c r="Y4" s="708"/>
      <c r="Z4" s="708"/>
      <c r="AA4" s="709"/>
      <c r="AB4" s="189" t="s">
        <v>41</v>
      </c>
      <c r="AC4" s="8"/>
      <c r="AD4" s="8"/>
      <c r="AE4" s="8"/>
      <c r="AF4" s="176"/>
      <c r="AG4" s="190"/>
      <c r="AH4" s="191" t="s">
        <v>39</v>
      </c>
      <c r="AI4" s="235"/>
      <c r="AJ4" s="235"/>
      <c r="AK4" s="236"/>
      <c r="AL4" s="7"/>
      <c r="AM4" s="181"/>
      <c r="AN4" s="182"/>
      <c r="AO4" s="235" t="s">
        <v>53</v>
      </c>
      <c r="AP4" s="184"/>
      <c r="AQ4" s="188"/>
      <c r="AR4" s="7"/>
      <c r="AS4" s="7"/>
      <c r="AT4" s="7"/>
      <c r="AU4" s="182" t="s">
        <v>41</v>
      </c>
      <c r="AV4" s="186"/>
      <c r="AW4" s="186"/>
      <c r="AX4" s="7"/>
      <c r="AY4" s="190"/>
      <c r="AZ4" s="191" t="s">
        <v>39</v>
      </c>
      <c r="BA4" s="235"/>
      <c r="BB4" s="235"/>
      <c r="BC4" s="236"/>
    </row>
    <row r="5" spans="1:73" ht="25.5">
      <c r="B5" s="720" t="s">
        <v>184</v>
      </c>
      <c r="C5" s="722" t="s">
        <v>185</v>
      </c>
      <c r="D5" s="710" t="s">
        <v>61</v>
      </c>
      <c r="E5" s="711"/>
      <c r="F5" s="711"/>
      <c r="G5" s="712"/>
      <c r="H5" s="718" t="s">
        <v>63</v>
      </c>
      <c r="I5" s="710" t="s">
        <v>50</v>
      </c>
      <c r="J5" s="711"/>
      <c r="K5" s="711"/>
      <c r="L5" s="712"/>
      <c r="M5" s="176"/>
      <c r="N5" s="710" t="s">
        <v>55</v>
      </c>
      <c r="O5" s="711"/>
      <c r="P5" s="711"/>
      <c r="Q5" s="712"/>
      <c r="R5" s="718" t="s">
        <v>62</v>
      </c>
      <c r="T5" s="710" t="s">
        <v>61</v>
      </c>
      <c r="U5" s="711"/>
      <c r="V5" s="711"/>
      <c r="W5" s="712"/>
      <c r="X5" s="715" t="s">
        <v>63</v>
      </c>
      <c r="Y5" s="711"/>
      <c r="Z5" s="711"/>
      <c r="AA5" s="716"/>
      <c r="AB5" s="7"/>
      <c r="AC5" s="7"/>
      <c r="AD5" s="7"/>
      <c r="AE5" s="7"/>
      <c r="AF5" s="7"/>
      <c r="AG5" s="710" t="s">
        <v>66</v>
      </c>
      <c r="AH5" s="713"/>
      <c r="AI5" s="713"/>
      <c r="AJ5" s="714"/>
      <c r="AK5" s="718" t="s">
        <v>62</v>
      </c>
      <c r="AL5" s="7"/>
      <c r="AM5" s="710" t="s">
        <v>61</v>
      </c>
      <c r="AN5" s="711"/>
      <c r="AO5" s="711"/>
      <c r="AP5" s="711"/>
      <c r="AQ5" s="233" t="s">
        <v>63</v>
      </c>
      <c r="AR5" s="7"/>
      <c r="AS5" s="178" t="s">
        <v>49</v>
      </c>
      <c r="AT5" s="178"/>
      <c r="AU5" s="179"/>
      <c r="AV5" s="15"/>
      <c r="AW5" s="180"/>
      <c r="AX5" s="7"/>
      <c r="AY5" s="710" t="s">
        <v>60</v>
      </c>
      <c r="AZ5" s="711"/>
      <c r="BA5" s="711"/>
      <c r="BB5" s="712"/>
      <c r="BC5" s="718" t="s">
        <v>62</v>
      </c>
      <c r="BD5" s="8"/>
    </row>
    <row r="6" spans="1:73" ht="26.25" thickBot="1">
      <c r="B6" s="721"/>
      <c r="C6" s="723"/>
      <c r="D6" s="9" t="s">
        <v>44</v>
      </c>
      <c r="E6" s="10" t="s">
        <v>45</v>
      </c>
      <c r="F6" s="10" t="s">
        <v>46</v>
      </c>
      <c r="G6" s="11" t="s">
        <v>40</v>
      </c>
      <c r="H6" s="719"/>
      <c r="I6" s="9" t="s">
        <v>44</v>
      </c>
      <c r="J6" s="10" t="s">
        <v>45</v>
      </c>
      <c r="K6" s="10" t="s">
        <v>46</v>
      </c>
      <c r="L6" s="11" t="s">
        <v>40</v>
      </c>
      <c r="M6" s="10" t="s">
        <v>48</v>
      </c>
      <c r="N6" s="9" t="s">
        <v>44</v>
      </c>
      <c r="O6" s="10" t="s">
        <v>45</v>
      </c>
      <c r="P6" s="10" t="s">
        <v>46</v>
      </c>
      <c r="Q6" s="10" t="s">
        <v>40</v>
      </c>
      <c r="R6" s="719"/>
      <c r="T6" s="9" t="s">
        <v>44</v>
      </c>
      <c r="U6" s="10" t="s">
        <v>45</v>
      </c>
      <c r="V6" s="10" t="s">
        <v>46</v>
      </c>
      <c r="W6" s="11" t="s">
        <v>40</v>
      </c>
      <c r="X6" s="14" t="s">
        <v>44</v>
      </c>
      <c r="Y6" s="10" t="s">
        <v>45</v>
      </c>
      <c r="Z6" s="10" t="s">
        <v>46</v>
      </c>
      <c r="AA6" s="11" t="s">
        <v>40</v>
      </c>
      <c r="AB6" s="9" t="s">
        <v>44</v>
      </c>
      <c r="AC6" s="10" t="s">
        <v>45</v>
      </c>
      <c r="AD6" s="10" t="s">
        <v>46</v>
      </c>
      <c r="AE6" s="10" t="s">
        <v>40</v>
      </c>
      <c r="AF6" s="234" t="s">
        <v>48</v>
      </c>
      <c r="AG6" s="9" t="s">
        <v>44</v>
      </c>
      <c r="AH6" s="10" t="s">
        <v>45</v>
      </c>
      <c r="AI6" s="10" t="s">
        <v>46</v>
      </c>
      <c r="AJ6" s="10" t="s">
        <v>40</v>
      </c>
      <c r="AK6" s="719"/>
      <c r="AL6" s="232"/>
      <c r="AM6" s="9" t="s">
        <v>44</v>
      </c>
      <c r="AN6" s="10" t="s">
        <v>45</v>
      </c>
      <c r="AO6" s="10" t="s">
        <v>46</v>
      </c>
      <c r="AP6" s="10" t="s">
        <v>40</v>
      </c>
      <c r="AQ6" s="234" t="s">
        <v>45</v>
      </c>
      <c r="AR6" s="10" t="s">
        <v>47</v>
      </c>
      <c r="AS6" s="10" t="s">
        <v>56</v>
      </c>
      <c r="AT6" s="10" t="s">
        <v>89</v>
      </c>
      <c r="AU6" s="14" t="s">
        <v>57</v>
      </c>
      <c r="AV6" s="10" t="s">
        <v>58</v>
      </c>
      <c r="AW6" s="11" t="s">
        <v>59</v>
      </c>
      <c r="AX6" s="10" t="s">
        <v>48</v>
      </c>
      <c r="AY6" s="9" t="s">
        <v>44</v>
      </c>
      <c r="AZ6" s="10" t="s">
        <v>45</v>
      </c>
      <c r="BA6" s="10" t="s">
        <v>46</v>
      </c>
      <c r="BB6" s="10" t="s">
        <v>40</v>
      </c>
      <c r="BC6" s="719"/>
      <c r="BD6" s="15"/>
    </row>
    <row r="7" spans="1:73" ht="18.75" customHeight="1">
      <c r="A7" s="699" t="s">
        <v>64</v>
      </c>
      <c r="B7" s="16" t="s">
        <v>3</v>
      </c>
      <c r="C7" s="17" t="s">
        <v>16</v>
      </c>
      <c r="D7" s="55"/>
      <c r="E7" s="56"/>
      <c r="F7" s="2"/>
      <c r="G7" s="63"/>
      <c r="H7" s="5"/>
      <c r="I7" s="151"/>
      <c r="J7" s="26"/>
      <c r="K7" s="26"/>
      <c r="L7" s="133"/>
      <c r="M7" s="56"/>
      <c r="N7" s="23"/>
      <c r="O7" s="19"/>
      <c r="P7" s="19"/>
      <c r="Q7" s="19"/>
      <c r="R7" s="24"/>
      <c r="T7" s="55"/>
      <c r="U7" s="56"/>
      <c r="V7" s="110"/>
      <c r="W7" s="199">
        <f>[2]WA!W62</f>
        <v>78894</v>
      </c>
      <c r="X7" s="198"/>
      <c r="Y7" s="198"/>
      <c r="Z7" s="198"/>
      <c r="AA7" s="272"/>
      <c r="AB7" s="26"/>
      <c r="AC7" s="26"/>
      <c r="AD7" s="26"/>
      <c r="AE7" s="26"/>
      <c r="AF7" s="84"/>
      <c r="AG7" s="20"/>
      <c r="AH7" s="21"/>
      <c r="AI7" s="21"/>
      <c r="AJ7" s="22">
        <f>W7</f>
        <v>78894</v>
      </c>
      <c r="AK7" s="27">
        <f>AJ7/[2]Popn!$I$43*1000</f>
        <v>33.866841036210978</v>
      </c>
      <c r="AL7" s="19"/>
      <c r="AM7" s="55"/>
      <c r="AN7" s="56"/>
      <c r="AO7" s="2"/>
      <c r="AP7" s="63"/>
      <c r="AQ7" s="67"/>
      <c r="AR7" s="26"/>
      <c r="AS7" s="21"/>
      <c r="AT7" s="21"/>
      <c r="AU7" s="25"/>
      <c r="AV7" s="21"/>
      <c r="AW7" s="22"/>
      <c r="AX7" s="56"/>
      <c r="AY7" s="23"/>
      <c r="AZ7" s="19"/>
      <c r="BA7" s="19"/>
      <c r="BB7" s="19"/>
      <c r="BC7" s="24"/>
      <c r="BD7" s="8"/>
      <c r="BH7" s="700" t="s">
        <v>70</v>
      </c>
      <c r="BI7" s="701"/>
      <c r="BJ7" s="701"/>
      <c r="BK7" s="701"/>
      <c r="BL7" s="702"/>
      <c r="BM7" s="700" t="s">
        <v>71</v>
      </c>
      <c r="BN7" s="702"/>
      <c r="BP7" s="8"/>
      <c r="BQ7" s="8"/>
      <c r="BR7" s="8"/>
      <c r="BS7" s="8"/>
      <c r="BT7" s="8"/>
      <c r="BU7" s="8"/>
    </row>
    <row r="8" spans="1:73">
      <c r="A8" s="699"/>
      <c r="B8" s="23"/>
      <c r="C8" s="17" t="s">
        <v>17</v>
      </c>
      <c r="D8" s="57"/>
      <c r="E8" s="2"/>
      <c r="F8" s="2"/>
      <c r="G8" s="63"/>
      <c r="H8" s="5"/>
      <c r="I8" s="20"/>
      <c r="J8" s="21"/>
      <c r="K8" s="21"/>
      <c r="L8" s="22"/>
      <c r="M8" s="2"/>
      <c r="N8" s="23"/>
      <c r="O8" s="19"/>
      <c r="P8" s="19"/>
      <c r="Q8" s="19"/>
      <c r="R8" s="24"/>
      <c r="T8" s="57"/>
      <c r="U8" s="2"/>
      <c r="V8" s="110"/>
      <c r="W8" s="199">
        <f>[2]WA!W63</f>
        <v>51126</v>
      </c>
      <c r="X8" s="198"/>
      <c r="Y8" s="198"/>
      <c r="Z8" s="198"/>
      <c r="AA8" s="272"/>
      <c r="AB8" s="21"/>
      <c r="AC8" s="21"/>
      <c r="AD8" s="21"/>
      <c r="AE8" s="21"/>
      <c r="AF8" s="70"/>
      <c r="AG8" s="20"/>
      <c r="AH8" s="21"/>
      <c r="AI8" s="21"/>
      <c r="AJ8" s="22">
        <f t="shared" ref="AJ8:AJ45" si="0">W8</f>
        <v>51126</v>
      </c>
      <c r="AK8" s="29">
        <f>AJ8/[2]Popn!$I$43*1000</f>
        <v>21.946866869689995</v>
      </c>
      <c r="AL8" s="19"/>
      <c r="AM8" s="57"/>
      <c r="AN8" s="2"/>
      <c r="AO8" s="2"/>
      <c r="AP8" s="63"/>
      <c r="AQ8" s="67"/>
      <c r="AR8" s="21"/>
      <c r="AS8" s="21"/>
      <c r="AT8" s="21"/>
      <c r="AU8" s="25"/>
      <c r="AV8" s="21"/>
      <c r="AW8" s="22"/>
      <c r="AX8" s="2"/>
      <c r="AY8" s="23"/>
      <c r="AZ8" s="19"/>
      <c r="BA8" s="19"/>
      <c r="BB8" s="19"/>
      <c r="BC8" s="24"/>
      <c r="BD8" s="8"/>
      <c r="BH8" s="703" t="s">
        <v>79</v>
      </c>
      <c r="BI8" s="704"/>
      <c r="BJ8" s="704"/>
      <c r="BK8" s="705"/>
      <c r="BL8" s="75" t="s">
        <v>74</v>
      </c>
      <c r="BM8" s="72" t="s">
        <v>79</v>
      </c>
      <c r="BN8" s="73" t="s">
        <v>74</v>
      </c>
      <c r="BP8" s="7"/>
      <c r="BQ8" s="7"/>
      <c r="BR8" s="7"/>
      <c r="BS8" s="7"/>
      <c r="BT8" s="7"/>
      <c r="BU8" s="7"/>
    </row>
    <row r="9" spans="1:73">
      <c r="A9" s="699"/>
      <c r="B9" s="23"/>
      <c r="C9" s="17" t="s">
        <v>18</v>
      </c>
      <c r="D9" s="57"/>
      <c r="E9" s="2"/>
      <c r="F9" s="2"/>
      <c r="G9" s="63"/>
      <c r="H9" s="5"/>
      <c r="I9" s="20"/>
      <c r="J9" s="21"/>
      <c r="K9" s="21"/>
      <c r="L9" s="22"/>
      <c r="M9" s="2"/>
      <c r="N9" s="23"/>
      <c r="O9" s="19"/>
      <c r="P9" s="19"/>
      <c r="Q9" s="19"/>
      <c r="R9" s="24"/>
      <c r="T9" s="57"/>
      <c r="U9" s="2"/>
      <c r="V9" s="110"/>
      <c r="W9" s="199">
        <f>[2]WA!W64</f>
        <v>343074</v>
      </c>
      <c r="X9" s="198"/>
      <c r="Y9" s="198"/>
      <c r="Z9" s="198"/>
      <c r="AA9" s="272"/>
      <c r="AB9" s="21"/>
      <c r="AC9" s="21"/>
      <c r="AD9" s="21"/>
      <c r="AE9" s="21"/>
      <c r="AF9" s="70"/>
      <c r="AG9" s="20"/>
      <c r="AH9" s="21"/>
      <c r="AI9" s="21"/>
      <c r="AJ9" s="22">
        <f t="shared" si="0"/>
        <v>343074</v>
      </c>
      <c r="AK9" s="29">
        <f>AJ9/[2]Popn!$I$43*1000</f>
        <v>147.27143536462904</v>
      </c>
      <c r="AL9" s="19"/>
      <c r="AM9" s="57"/>
      <c r="AN9" s="2"/>
      <c r="AO9" s="2"/>
      <c r="AP9" s="63"/>
      <c r="AQ9" s="67"/>
      <c r="AR9" s="21"/>
      <c r="AS9" s="21"/>
      <c r="AT9" s="21"/>
      <c r="AU9" s="25"/>
      <c r="AV9" s="21"/>
      <c r="AW9" s="22"/>
      <c r="AX9" s="2"/>
      <c r="AY9" s="23"/>
      <c r="AZ9" s="19"/>
      <c r="BA9" s="19"/>
      <c r="BB9" s="19"/>
      <c r="BC9" s="24"/>
      <c r="BD9" s="30"/>
      <c r="BG9" s="141"/>
      <c r="BH9" s="78" t="s">
        <v>44</v>
      </c>
      <c r="BI9" s="79" t="s">
        <v>45</v>
      </c>
      <c r="BJ9" s="79" t="s">
        <v>46</v>
      </c>
      <c r="BK9" s="80" t="s">
        <v>80</v>
      </c>
      <c r="BL9" s="80" t="s">
        <v>80</v>
      </c>
      <c r="BM9" s="78" t="s">
        <v>80</v>
      </c>
      <c r="BN9" s="80" t="s">
        <v>80</v>
      </c>
      <c r="BP9" s="30"/>
      <c r="BQ9" s="30"/>
      <c r="BR9" s="30"/>
      <c r="BS9" s="31"/>
      <c r="BT9" s="31"/>
      <c r="BU9" s="32"/>
    </row>
    <row r="10" spans="1:73">
      <c r="A10" s="699"/>
      <c r="B10" s="23"/>
      <c r="C10" s="17" t="s">
        <v>182</v>
      </c>
      <c r="D10" s="57"/>
      <c r="E10" s="2"/>
      <c r="F10" s="2"/>
      <c r="G10" s="63"/>
      <c r="H10" s="2"/>
      <c r="I10" s="20"/>
      <c r="J10" s="21"/>
      <c r="K10" s="21"/>
      <c r="L10" s="22"/>
      <c r="M10" s="2"/>
      <c r="N10" s="23"/>
      <c r="O10" s="19"/>
      <c r="P10" s="19"/>
      <c r="Q10" s="19"/>
      <c r="R10" s="24"/>
      <c r="T10" s="57"/>
      <c r="U10" s="2"/>
      <c r="V10" s="110"/>
      <c r="W10" s="199">
        <f>[2]WA!W65</f>
        <v>291360</v>
      </c>
      <c r="X10" s="198"/>
      <c r="Y10" s="198"/>
      <c r="Z10" s="198"/>
      <c r="AA10" s="274"/>
      <c r="AB10" s="21"/>
      <c r="AC10" s="21"/>
      <c r="AD10" s="21"/>
      <c r="AE10" s="21"/>
      <c r="AF10" s="70"/>
      <c r="AG10" s="20"/>
      <c r="AH10" s="21"/>
      <c r="AI10" s="21"/>
      <c r="AJ10" s="22">
        <f t="shared" si="0"/>
        <v>291360</v>
      </c>
      <c r="AK10" s="29">
        <f>AJ10/[2]Popn!$I$43*1000</f>
        <v>125.0721576331588</v>
      </c>
      <c r="AL10" s="19"/>
      <c r="AM10" s="57"/>
      <c r="AN10" s="2"/>
      <c r="AO10" s="2"/>
      <c r="AP10" s="63"/>
      <c r="AQ10" s="68"/>
      <c r="AR10" s="21"/>
      <c r="AS10" s="21"/>
      <c r="AT10" s="21"/>
      <c r="AU10" s="25"/>
      <c r="AV10" s="21"/>
      <c r="AW10" s="22"/>
      <c r="AX10" s="2"/>
      <c r="AY10" s="23"/>
      <c r="AZ10" s="19"/>
      <c r="BA10" s="19"/>
      <c r="BB10" s="19"/>
      <c r="BC10" s="24"/>
      <c r="BD10" s="30"/>
      <c r="BG10" s="145" t="s">
        <v>72</v>
      </c>
      <c r="BH10" s="52">
        <f>N50/1000</f>
        <v>963.81442479952045</v>
      </c>
      <c r="BI10" s="52">
        <f>O50/1000</f>
        <v>1010.0488570734908</v>
      </c>
      <c r="BJ10" s="52">
        <f>P50/1000</f>
        <v>1688.0386602644835</v>
      </c>
      <c r="BK10" s="53">
        <f>Q50/1000</f>
        <v>3661.9019421374942</v>
      </c>
      <c r="BL10" s="54">
        <f>R50/1000</f>
        <v>1.5719452805607879</v>
      </c>
      <c r="BM10" s="51">
        <f>Q51/1000</f>
        <v>3902.8090602396987</v>
      </c>
      <c r="BN10" s="54">
        <f>R51/1000</f>
        <v>1.6753595208485037</v>
      </c>
      <c r="BP10" s="30"/>
      <c r="BQ10" s="30"/>
      <c r="BR10" s="30"/>
      <c r="BS10" s="31"/>
      <c r="BT10" s="31"/>
      <c r="BU10" s="32"/>
    </row>
    <row r="11" spans="1:73">
      <c r="A11" s="699"/>
      <c r="B11" s="23"/>
      <c r="C11" s="17" t="s">
        <v>183</v>
      </c>
      <c r="D11" s="57"/>
      <c r="E11" s="2"/>
      <c r="F11" s="2"/>
      <c r="G11" s="63"/>
      <c r="H11" s="2"/>
      <c r="I11" s="20"/>
      <c r="J11" s="21"/>
      <c r="K11" s="21"/>
      <c r="L11" s="22"/>
      <c r="M11" s="2"/>
      <c r="N11" s="23"/>
      <c r="O11" s="19"/>
      <c r="P11" s="19"/>
      <c r="Q11" s="19"/>
      <c r="R11" s="33"/>
      <c r="T11" s="57"/>
      <c r="U11" s="2"/>
      <c r="V11" s="110"/>
      <c r="W11" s="199"/>
      <c r="X11" s="198"/>
      <c r="Y11" s="198"/>
      <c r="Z11" s="198"/>
      <c r="AA11" s="274"/>
      <c r="AB11" s="21"/>
      <c r="AC11" s="21"/>
      <c r="AD11" s="21"/>
      <c r="AE11" s="21"/>
      <c r="AF11" s="70"/>
      <c r="AG11" s="20"/>
      <c r="AH11" s="21"/>
      <c r="AI11" s="21"/>
      <c r="AJ11" s="22">
        <f t="shared" si="0"/>
        <v>0</v>
      </c>
      <c r="AK11" s="29">
        <f>AJ11/[2]Popn!$I$43*1000</f>
        <v>0</v>
      </c>
      <c r="AL11" s="19"/>
      <c r="AM11" s="57"/>
      <c r="AN11" s="2"/>
      <c r="AO11" s="2"/>
      <c r="AP11" s="63"/>
      <c r="AQ11" s="68"/>
      <c r="AR11" s="21"/>
      <c r="AS11" s="21"/>
      <c r="AT11" s="21"/>
      <c r="AU11" s="25"/>
      <c r="AV11" s="21"/>
      <c r="AW11" s="22"/>
      <c r="AX11" s="2"/>
      <c r="AY11" s="23"/>
      <c r="AZ11" s="19"/>
      <c r="BA11" s="19"/>
      <c r="BB11" s="19"/>
      <c r="BC11" s="24"/>
      <c r="BD11" s="30"/>
      <c r="BG11" s="77" t="s">
        <v>68</v>
      </c>
      <c r="BH11" s="52">
        <f>AG50/1000</f>
        <v>582.59270144460027</v>
      </c>
      <c r="BI11" s="52">
        <f>AH50/1000</f>
        <v>453.12765667913345</v>
      </c>
      <c r="BJ11" s="52">
        <f>AI50/1000</f>
        <v>1100.4528805064672</v>
      </c>
      <c r="BK11" s="53">
        <f>AJ50/1000</f>
        <v>2136.1732386302006</v>
      </c>
      <c r="BL11" s="54">
        <f>AK50/1000</f>
        <v>0.91699545590915632</v>
      </c>
      <c r="BM11" s="51">
        <f>AJ51/1000</f>
        <v>2561.676775476496</v>
      </c>
      <c r="BN11" s="54">
        <f>AK51/1000</f>
        <v>1.0996514328239919</v>
      </c>
    </row>
    <row r="12" spans="1:73" s="106" customFormat="1">
      <c r="A12" s="699"/>
      <c r="B12" s="107" t="s">
        <v>67</v>
      </c>
      <c r="C12" s="108"/>
      <c r="D12" s="109"/>
      <c r="E12" s="110"/>
      <c r="F12" s="110"/>
      <c r="G12" s="63"/>
      <c r="H12" s="110"/>
      <c r="I12" s="112">
        <f>D50*[2]WA!$F$380</f>
        <v>72668.938739829435</v>
      </c>
      <c r="J12" s="113">
        <f>E50*[2]WA!J$347</f>
        <v>60300.409088306442</v>
      </c>
      <c r="K12" s="113">
        <f>F50*[2]WA!K$347</f>
        <v>1574599.4602768193</v>
      </c>
      <c r="L12" s="114">
        <f>SUM(I12:K12)</f>
        <v>1707568.8081049551</v>
      </c>
      <c r="M12" s="110"/>
      <c r="N12" s="112">
        <f>I12-AU12</f>
        <v>72668.938739829435</v>
      </c>
      <c r="O12" s="113">
        <f>J12-AV12</f>
        <v>60300.409088306442</v>
      </c>
      <c r="P12" s="113">
        <f>K12-AW12</f>
        <v>1574599.4602768193</v>
      </c>
      <c r="Q12" s="114">
        <f>SUM(N12:P12)</f>
        <v>1707568.8081049551</v>
      </c>
      <c r="R12" s="115">
        <f>Q12/[2]Popn!$I$43*1000</f>
        <v>733.00835782800675</v>
      </c>
      <c r="T12" s="109"/>
      <c r="U12" s="110"/>
      <c r="V12" s="110"/>
      <c r="W12" s="203"/>
      <c r="X12" s="130"/>
      <c r="Y12" s="130"/>
      <c r="Z12" s="130"/>
      <c r="AA12" s="276"/>
      <c r="AB12" s="113"/>
      <c r="AC12" s="113"/>
      <c r="AD12" s="113"/>
      <c r="AE12" s="113"/>
      <c r="AF12" s="117"/>
      <c r="AG12" s="112"/>
      <c r="AH12" s="113"/>
      <c r="AI12" s="113"/>
      <c r="AJ12" s="114">
        <f>SUM(AJ7:AJ11)</f>
        <v>764454</v>
      </c>
      <c r="AK12" s="118">
        <f>SUM(AK7:AK11)</f>
        <v>328.15730090368879</v>
      </c>
      <c r="AL12" s="119"/>
      <c r="AM12" s="109"/>
      <c r="AN12" s="110"/>
      <c r="AO12" s="110"/>
      <c r="AP12" s="111"/>
      <c r="AQ12" s="116"/>
      <c r="AR12" s="113"/>
      <c r="AS12" s="113"/>
      <c r="AT12" s="113"/>
      <c r="AU12" s="120"/>
      <c r="AV12" s="113"/>
      <c r="AW12" s="114"/>
      <c r="AX12" s="110"/>
      <c r="AY12" s="112"/>
      <c r="AZ12" s="113"/>
      <c r="BA12" s="113"/>
      <c r="BB12" s="113"/>
      <c r="BC12" s="121"/>
      <c r="BD12" s="122"/>
      <c r="BG12" s="77" t="s">
        <v>69</v>
      </c>
      <c r="BH12" s="52">
        <f>AY50/1000</f>
        <v>74.313271483757063</v>
      </c>
      <c r="BI12" s="52">
        <f>AZ50/1000</f>
        <v>76.564514697791395</v>
      </c>
      <c r="BJ12" s="52">
        <f>BA50/1000</f>
        <v>7.8875280324425328</v>
      </c>
      <c r="BK12" s="53">
        <f>BB50/1000</f>
        <v>158.76531421399099</v>
      </c>
      <c r="BL12" s="54">
        <f>BC50/1000</f>
        <v>6.8153213914230751E-2</v>
      </c>
      <c r="BM12" s="51">
        <f>BB51/1000</f>
        <v>158.76531421399099</v>
      </c>
      <c r="BN12" s="54">
        <f>BC51/1000</f>
        <v>6.8153213914230751E-2</v>
      </c>
      <c r="BO12" s="6"/>
    </row>
    <row r="13" spans="1:73">
      <c r="A13" s="699"/>
      <c r="B13" s="23" t="s">
        <v>4</v>
      </c>
      <c r="C13" s="17" t="s">
        <v>19</v>
      </c>
      <c r="D13" s="57"/>
      <c r="E13" s="2"/>
      <c r="F13" s="2"/>
      <c r="G13" s="63"/>
      <c r="H13" s="2"/>
      <c r="I13" s="20"/>
      <c r="J13" s="21"/>
      <c r="K13" s="21"/>
      <c r="L13" s="22"/>
      <c r="M13" s="2"/>
      <c r="N13" s="23"/>
      <c r="O13" s="19"/>
      <c r="P13" s="19"/>
      <c r="Q13" s="19"/>
      <c r="R13" s="33"/>
      <c r="T13" s="57"/>
      <c r="U13" s="2"/>
      <c r="V13" s="110"/>
      <c r="W13" s="199">
        <f>[2]WA!W68</f>
        <v>436641</v>
      </c>
      <c r="X13" s="198"/>
      <c r="Y13" s="198"/>
      <c r="Z13" s="198"/>
      <c r="AA13" s="274"/>
      <c r="AB13" s="21"/>
      <c r="AC13" s="21"/>
      <c r="AD13" s="21"/>
      <c r="AE13" s="21"/>
      <c r="AF13" s="70"/>
      <c r="AG13" s="20"/>
      <c r="AH13" s="21"/>
      <c r="AI13" s="21"/>
      <c r="AJ13" s="22">
        <f t="shared" si="0"/>
        <v>436641</v>
      </c>
      <c r="AK13" s="29">
        <f>AJ13/[2]Popn!$I$43*1000</f>
        <v>187.43695765067304</v>
      </c>
      <c r="AL13" s="19"/>
      <c r="AM13" s="57"/>
      <c r="AN13" s="2"/>
      <c r="AO13" s="2"/>
      <c r="AP13" s="63"/>
      <c r="AQ13" s="68"/>
      <c r="AR13" s="21"/>
      <c r="AS13" s="21"/>
      <c r="AT13" s="21"/>
      <c r="AU13" s="25"/>
      <c r="AV13" s="21"/>
      <c r="AW13" s="22"/>
      <c r="AX13" s="2"/>
      <c r="AY13" s="23"/>
      <c r="AZ13" s="19"/>
      <c r="BA13" s="19"/>
      <c r="BB13" s="19"/>
      <c r="BC13" s="24"/>
      <c r="BD13" s="30"/>
      <c r="BG13" s="145" t="s">
        <v>73</v>
      </c>
      <c r="BH13" s="86">
        <f t="shared" ref="BH13:BN13" si="1">SUM(BH11:BH12)/BH14</f>
        <v>0.40531727363293985</v>
      </c>
      <c r="BI13" s="86">
        <f t="shared" si="1"/>
        <v>0.34401380595151337</v>
      </c>
      <c r="BJ13" s="86">
        <f t="shared" si="1"/>
        <v>0.39634841388409586</v>
      </c>
      <c r="BK13" s="87">
        <f t="shared" si="1"/>
        <v>0.38526103809184625</v>
      </c>
      <c r="BL13" s="87">
        <f t="shared" si="1"/>
        <v>0.3852610380918462</v>
      </c>
      <c r="BM13" s="88">
        <f t="shared" si="1"/>
        <v>0.4107411946350793</v>
      </c>
      <c r="BN13" s="87">
        <f t="shared" si="1"/>
        <v>0.41074119463507919</v>
      </c>
    </row>
    <row r="14" spans="1:73">
      <c r="A14" s="699"/>
      <c r="B14" s="23"/>
      <c r="C14" s="17" t="s">
        <v>20</v>
      </c>
      <c r="D14" s="57"/>
      <c r="E14" s="2"/>
      <c r="F14" s="2"/>
      <c r="G14" s="63"/>
      <c r="H14" s="2"/>
      <c r="I14" s="20"/>
      <c r="J14" s="21"/>
      <c r="K14" s="21"/>
      <c r="L14" s="22"/>
      <c r="M14" s="2"/>
      <c r="N14" s="23"/>
      <c r="O14" s="19"/>
      <c r="P14" s="19"/>
      <c r="Q14" s="19"/>
      <c r="R14" s="33"/>
      <c r="T14" s="57"/>
      <c r="U14" s="2"/>
      <c r="V14" s="110"/>
      <c r="W14" s="199">
        <f>[2]WA!W69</f>
        <v>16749</v>
      </c>
      <c r="X14" s="198"/>
      <c r="Y14" s="198"/>
      <c r="Z14" s="198"/>
      <c r="AA14" s="274"/>
      <c r="AB14" s="21"/>
      <c r="AC14" s="21"/>
      <c r="AD14" s="21"/>
      <c r="AE14" s="21"/>
      <c r="AF14" s="70"/>
      <c r="AG14" s="20"/>
      <c r="AH14" s="21"/>
      <c r="AI14" s="21"/>
      <c r="AJ14" s="22">
        <f t="shared" si="0"/>
        <v>16749</v>
      </c>
      <c r="AK14" s="29">
        <f>AJ14/[2]Popn!$I$43*1000</f>
        <v>7.1898461291796298</v>
      </c>
      <c r="AL14" s="19"/>
      <c r="AM14" s="57"/>
      <c r="AN14" s="2"/>
      <c r="AO14" s="2"/>
      <c r="AP14" s="63"/>
      <c r="AQ14" s="68"/>
      <c r="AR14" s="21"/>
      <c r="AS14" s="21"/>
      <c r="AT14" s="21"/>
      <c r="AU14" s="225"/>
      <c r="AV14" s="21"/>
      <c r="AW14" s="22"/>
      <c r="AX14" s="2"/>
      <c r="AY14" s="23"/>
      <c r="AZ14" s="19"/>
      <c r="BA14" s="19"/>
      <c r="BB14" s="19"/>
      <c r="BC14" s="24"/>
      <c r="BD14" s="30"/>
      <c r="BG14" s="77" t="s">
        <v>78</v>
      </c>
      <c r="BH14" s="52">
        <f t="shared" ref="BH14:BN14" si="2">SUM(BH10:BH12)</f>
        <v>1620.7203977278778</v>
      </c>
      <c r="BI14" s="52">
        <f t="shared" si="2"/>
        <v>1539.7410284504156</v>
      </c>
      <c r="BJ14" s="52">
        <f t="shared" si="2"/>
        <v>2796.3790688033928</v>
      </c>
      <c r="BK14" s="74">
        <f t="shared" si="2"/>
        <v>5956.8404949816859</v>
      </c>
      <c r="BL14" s="76">
        <f t="shared" si="2"/>
        <v>2.557093950384175</v>
      </c>
      <c r="BM14" s="81">
        <f t="shared" si="2"/>
        <v>6623.2511499301854</v>
      </c>
      <c r="BN14" s="76">
        <f t="shared" si="2"/>
        <v>2.8431641675867265</v>
      </c>
    </row>
    <row r="15" spans="1:73">
      <c r="A15" s="699"/>
      <c r="B15" s="23"/>
      <c r="C15" s="17" t="s">
        <v>21</v>
      </c>
      <c r="D15" s="57"/>
      <c r="E15" s="2"/>
      <c r="F15" s="2"/>
      <c r="G15" s="63"/>
      <c r="H15" s="2"/>
      <c r="I15" s="20"/>
      <c r="J15" s="21"/>
      <c r="K15" s="21"/>
      <c r="L15" s="22"/>
      <c r="M15" s="2"/>
      <c r="N15" s="23"/>
      <c r="O15" s="19"/>
      <c r="P15" s="19"/>
      <c r="Q15" s="19"/>
      <c r="R15" s="33"/>
      <c r="T15" s="57"/>
      <c r="U15" s="2"/>
      <c r="V15" s="110"/>
      <c r="W15" s="199">
        <f>[2]WA!W70</f>
        <v>33680</v>
      </c>
      <c r="X15" s="198"/>
      <c r="Y15" s="198"/>
      <c r="Z15" s="198"/>
      <c r="AA15" s="274"/>
      <c r="AB15" s="21"/>
      <c r="AC15" s="21"/>
      <c r="AD15" s="21"/>
      <c r="AE15" s="21"/>
      <c r="AF15" s="70"/>
      <c r="AG15" s="20"/>
      <c r="AH15" s="21"/>
      <c r="AI15" s="21"/>
      <c r="AJ15" s="22">
        <f t="shared" si="0"/>
        <v>33680</v>
      </c>
      <c r="AK15" s="29">
        <f>AJ15/[2]Popn!$I$43*1000</f>
        <v>14.457819429862674</v>
      </c>
      <c r="AL15" s="19"/>
      <c r="AM15" s="57"/>
      <c r="AN15" s="2"/>
      <c r="AO15" s="2"/>
      <c r="AP15" s="63"/>
      <c r="AQ15" s="68"/>
      <c r="AR15" s="21"/>
      <c r="AS15" s="21"/>
      <c r="AT15" s="21"/>
      <c r="AU15" s="25"/>
      <c r="AV15" s="21"/>
      <c r="AW15" s="22"/>
      <c r="AX15" s="2"/>
      <c r="AY15" s="23"/>
      <c r="AZ15" s="19"/>
      <c r="BA15" s="19"/>
      <c r="BB15" s="19"/>
      <c r="BC15" s="24"/>
      <c r="BD15" s="30"/>
    </row>
    <row r="16" spans="1:73" s="106" customFormat="1">
      <c r="A16" s="699"/>
      <c r="B16" s="107" t="s">
        <v>67</v>
      </c>
      <c r="C16" s="108"/>
      <c r="D16" s="109"/>
      <c r="E16" s="110"/>
      <c r="F16" s="110"/>
      <c r="G16" s="63"/>
      <c r="H16" s="110"/>
      <c r="I16" s="112">
        <f>D50*[2]WA!$F$381</f>
        <v>20762.55392566555</v>
      </c>
      <c r="J16" s="113">
        <f>E50*[2]WA!J$348</f>
        <v>50652.343634177414</v>
      </c>
      <c r="K16" s="113">
        <f>F50*[2]WA!K$348</f>
        <v>25035.674035895005</v>
      </c>
      <c r="L16" s="114">
        <f>SUM(I16:K16)</f>
        <v>96450.571595737973</v>
      </c>
      <c r="M16" s="110"/>
      <c r="N16" s="112">
        <f>I16-AU16</f>
        <v>20762.55392566555</v>
      </c>
      <c r="O16" s="113">
        <f>J16-AV16</f>
        <v>50652.343634177414</v>
      </c>
      <c r="P16" s="113">
        <f>K16-AW16</f>
        <v>25035.674035895005</v>
      </c>
      <c r="Q16" s="114">
        <f>SUM(N16:P16)</f>
        <v>96450.571595737973</v>
      </c>
      <c r="R16" s="115">
        <f>Q16/[2]Popn!$I$43*1000</f>
        <v>41.403353564080206</v>
      </c>
      <c r="T16" s="109"/>
      <c r="U16" s="110"/>
      <c r="V16" s="110"/>
      <c r="W16" s="203"/>
      <c r="X16" s="130"/>
      <c r="Y16" s="130"/>
      <c r="Z16" s="130"/>
      <c r="AA16" s="276"/>
      <c r="AB16" s="113"/>
      <c r="AC16" s="113"/>
      <c r="AD16" s="113"/>
      <c r="AE16" s="113"/>
      <c r="AF16" s="117"/>
      <c r="AG16" s="112"/>
      <c r="AH16" s="113"/>
      <c r="AI16" s="113"/>
      <c r="AJ16" s="114">
        <f>SUM(AJ13:AJ15)</f>
        <v>487070</v>
      </c>
      <c r="AK16" s="118">
        <f>SUM(AK13:AK15)</f>
        <v>209.08462320971535</v>
      </c>
      <c r="AL16" s="119"/>
      <c r="AM16" s="109"/>
      <c r="AN16" s="110"/>
      <c r="AO16" s="110"/>
      <c r="AP16" s="111"/>
      <c r="AQ16" s="116"/>
      <c r="AR16" s="113"/>
      <c r="AS16" s="113"/>
      <c r="AT16" s="113"/>
      <c r="AU16" s="120"/>
      <c r="AV16" s="113"/>
      <c r="AW16" s="114"/>
      <c r="AX16" s="110"/>
      <c r="AY16" s="112"/>
      <c r="AZ16" s="113"/>
      <c r="BA16" s="113"/>
      <c r="BB16" s="113"/>
      <c r="BC16" s="121"/>
      <c r="BD16" s="122"/>
      <c r="BG16" s="140"/>
      <c r="BH16" s="6"/>
      <c r="BI16" s="6"/>
      <c r="BJ16" s="427" t="s">
        <v>137</v>
      </c>
      <c r="BK16" s="428" t="str">
        <f>IF(SUM(BH14:BJ14)=BK14,"OK","Problem")</f>
        <v>OK</v>
      </c>
      <c r="BL16" s="6"/>
      <c r="BM16" s="6"/>
      <c r="BN16" s="6"/>
      <c r="BO16" s="6"/>
    </row>
    <row r="17" spans="1:67">
      <c r="A17" s="699"/>
      <c r="B17" s="23" t="s">
        <v>2</v>
      </c>
      <c r="C17" s="17" t="s">
        <v>22</v>
      </c>
      <c r="D17" s="57"/>
      <c r="E17" s="2"/>
      <c r="F17" s="2"/>
      <c r="G17" s="63"/>
      <c r="H17" s="2"/>
      <c r="I17" s="20"/>
      <c r="J17" s="21"/>
      <c r="K17" s="21"/>
      <c r="L17" s="22"/>
      <c r="M17" s="2"/>
      <c r="N17" s="20"/>
      <c r="O17" s="21"/>
      <c r="P17" s="21"/>
      <c r="Q17" s="21"/>
      <c r="R17" s="34"/>
      <c r="T17" s="57"/>
      <c r="U17" s="2"/>
      <c r="V17" s="110"/>
      <c r="W17" s="199">
        <f>[2]WA!W72</f>
        <v>14338</v>
      </c>
      <c r="X17" s="198"/>
      <c r="Y17" s="198"/>
      <c r="Z17" s="198"/>
      <c r="AA17" s="274"/>
      <c r="AB17" s="21"/>
      <c r="AC17" s="21"/>
      <c r="AD17" s="21"/>
      <c r="AE17" s="21"/>
      <c r="AF17" s="70"/>
      <c r="AG17" s="20"/>
      <c r="AH17" s="21"/>
      <c r="AI17" s="21"/>
      <c r="AJ17" s="22">
        <f t="shared" si="0"/>
        <v>14338</v>
      </c>
      <c r="AK17" s="29">
        <f>AJ17/[2]Popn!$I$43*1000</f>
        <v>6.1548757418459328</v>
      </c>
      <c r="AL17" s="19"/>
      <c r="AM17" s="57"/>
      <c r="AN17" s="2"/>
      <c r="AO17" s="2"/>
      <c r="AP17" s="63"/>
      <c r="AQ17" s="70"/>
      <c r="AR17" s="21">
        <f>L22*'[2]Lfill en &amp; composn'!$I$82/SUM('[2]Lfill en &amp; composn'!$I$82,'[2]Lfill en &amp; composn'!$I$84:$I$85,'[2]Lfill en &amp; composn'!$I$87:$I$88)*'[2]Lfill en &amp; composn'!$D$16</f>
        <v>80249.606217312437</v>
      </c>
      <c r="AS17" s="35">
        <f>AR17/SUM($AR$7:$AR$49)</f>
        <v>0.36299945989286053</v>
      </c>
      <c r="AT17" s="21">
        <f>AS17*'[2]Lfill en &amp; composn'!$I$64/'[2]Lfill en &amp; composn'!$B$16</f>
        <v>86977.507260861123</v>
      </c>
      <c r="AU17" s="25"/>
      <c r="AV17" s="21"/>
      <c r="AW17" s="22"/>
      <c r="AX17" s="82"/>
      <c r="AY17" s="20"/>
      <c r="AZ17" s="21"/>
      <c r="BA17" s="21"/>
      <c r="BB17" s="21"/>
      <c r="BC17" s="29"/>
      <c r="BD17" s="30"/>
      <c r="BJ17" s="427" t="s">
        <v>138</v>
      </c>
      <c r="BK17" s="428" t="str">
        <f>IF(SUM(BH11:BJ11)=BK11,"OK","Problem")</f>
        <v>OK</v>
      </c>
    </row>
    <row r="18" spans="1:67">
      <c r="A18" s="699"/>
      <c r="B18" s="23"/>
      <c r="C18" s="17" t="s">
        <v>23</v>
      </c>
      <c r="D18" s="57"/>
      <c r="E18" s="2"/>
      <c r="F18" s="2"/>
      <c r="G18" s="63"/>
      <c r="H18" s="2"/>
      <c r="I18" s="20"/>
      <c r="J18" s="21"/>
      <c r="K18" s="21"/>
      <c r="L18" s="22"/>
      <c r="M18" s="2"/>
      <c r="N18" s="20"/>
      <c r="O18" s="21"/>
      <c r="P18" s="21"/>
      <c r="Q18" s="21"/>
      <c r="R18" s="34"/>
      <c r="T18" s="201"/>
      <c r="U18" s="2"/>
      <c r="V18" s="110"/>
      <c r="W18" s="199">
        <f>[2]WA!W73</f>
        <v>206649</v>
      </c>
      <c r="X18" s="198"/>
      <c r="Y18" s="198"/>
      <c r="Z18" s="198"/>
      <c r="AA18" s="274"/>
      <c r="AB18" s="21"/>
      <c r="AC18" s="21"/>
      <c r="AD18" s="21"/>
      <c r="AE18" s="21"/>
      <c r="AF18" s="70"/>
      <c r="AG18" s="20"/>
      <c r="AH18" s="21"/>
      <c r="AI18" s="21"/>
      <c r="AJ18" s="22">
        <f t="shared" si="0"/>
        <v>206649</v>
      </c>
      <c r="AK18" s="29">
        <f>AJ18/[2]Popn!$I$43*1000</f>
        <v>88.708252000050223</v>
      </c>
      <c r="AL18" s="19"/>
      <c r="AM18" s="57"/>
      <c r="AN18" s="2"/>
      <c r="AO18" s="2"/>
      <c r="AP18" s="63"/>
      <c r="AQ18" s="68"/>
      <c r="AR18" s="21">
        <f>L22*'[2]Lfill en &amp; composn'!$I$84/SUM('[2]Lfill en &amp; composn'!$I$82,'[2]Lfill en &amp; composn'!$I$84:$I$85,'[2]Lfill en &amp; composn'!$I$87:$I$88)*'[2]Lfill en &amp; composn'!$D$18</f>
        <v>28678.799372080182</v>
      </c>
      <c r="AS18" s="35">
        <f>AR18/SUM($AR$7:$AR$49)</f>
        <v>0.12972510611765414</v>
      </c>
      <c r="AT18" s="21">
        <f>AS18*'[2]Lfill en &amp; composn'!$I$64/'[2]Lfill en &amp; composn'!$B$18</f>
        <v>23312.361874989718</v>
      </c>
      <c r="AU18" s="25"/>
      <c r="AV18" s="21"/>
      <c r="AW18" s="22"/>
      <c r="AX18" s="2"/>
      <c r="AY18" s="20"/>
      <c r="AZ18" s="21"/>
      <c r="BA18" s="21"/>
      <c r="BB18" s="21"/>
      <c r="BC18" s="29"/>
      <c r="BD18" s="36"/>
    </row>
    <row r="19" spans="1:67">
      <c r="A19" s="699"/>
      <c r="B19" s="23"/>
      <c r="C19" s="17" t="s">
        <v>24</v>
      </c>
      <c r="D19" s="57"/>
      <c r="E19" s="2"/>
      <c r="F19" s="2"/>
      <c r="G19" s="63"/>
      <c r="H19" s="2"/>
      <c r="I19" s="20"/>
      <c r="J19" s="21"/>
      <c r="K19" s="21"/>
      <c r="L19" s="22"/>
      <c r="M19" s="2"/>
      <c r="N19" s="20"/>
      <c r="O19" s="21"/>
      <c r="P19" s="21"/>
      <c r="Q19" s="21"/>
      <c r="R19" s="34"/>
      <c r="T19" s="57"/>
      <c r="U19" s="2"/>
      <c r="V19" s="110"/>
      <c r="W19" s="199">
        <f>[2]WA!W74</f>
        <v>50057</v>
      </c>
      <c r="X19" s="198"/>
      <c r="Y19" s="198"/>
      <c r="Z19" s="198"/>
      <c r="AA19" s="274"/>
      <c r="AB19" s="21"/>
      <c r="AC19" s="21"/>
      <c r="AD19" s="21"/>
      <c r="AE19" s="21"/>
      <c r="AF19" s="70"/>
      <c r="AG19" s="20"/>
      <c r="AH19" s="21"/>
      <c r="AI19" s="21"/>
      <c r="AJ19" s="22">
        <f t="shared" si="0"/>
        <v>50057</v>
      </c>
      <c r="AK19" s="29">
        <f>AJ19/[2]Popn!$I$43*1000</f>
        <v>21.487977054650706</v>
      </c>
      <c r="AL19" s="19"/>
      <c r="AM19" s="57"/>
      <c r="AN19" s="2"/>
      <c r="AO19" s="2"/>
      <c r="AP19" s="63"/>
      <c r="AQ19" s="70"/>
      <c r="AR19" s="21">
        <f>L22*'[2]Lfill en &amp; composn'!$I$85/SUM('[2]Lfill en &amp; composn'!$I$82,'[2]Lfill en &amp; composn'!$I$84:$I$85,'[2]Lfill en &amp; composn'!$I$87:$I$88)*'[2]Lfill en &amp; composn'!$D$19</f>
        <v>28667.539370585589</v>
      </c>
      <c r="AS19" s="35">
        <f>AR19/SUM($AR$7:$AR$49)</f>
        <v>0.12967417285263771</v>
      </c>
      <c r="AT19" s="21">
        <f>AS19*'[2]Lfill en &amp; composn'!$I$64/'[2]Lfill en &amp; composn'!$B$19</f>
        <v>10838.701799419343</v>
      </c>
      <c r="AU19" s="25"/>
      <c r="AV19" s="21"/>
      <c r="AW19" s="22"/>
      <c r="AX19" s="2"/>
      <c r="AY19" s="20"/>
      <c r="AZ19" s="21"/>
      <c r="BA19" s="21"/>
      <c r="BB19" s="21"/>
      <c r="BC19" s="29"/>
    </row>
    <row r="20" spans="1:67">
      <c r="A20" s="699"/>
      <c r="B20" s="23"/>
      <c r="C20" s="17" t="s">
        <v>25</v>
      </c>
      <c r="D20" s="57"/>
      <c r="E20" s="2"/>
      <c r="F20" s="2"/>
      <c r="G20" s="63"/>
      <c r="H20" s="2"/>
      <c r="I20" s="20"/>
      <c r="J20" s="21"/>
      <c r="K20" s="21"/>
      <c r="L20" s="22"/>
      <c r="M20" s="2"/>
      <c r="N20" s="20"/>
      <c r="O20" s="21"/>
      <c r="P20" s="21"/>
      <c r="Q20" s="21"/>
      <c r="R20" s="34"/>
      <c r="T20" s="57"/>
      <c r="U20" s="2"/>
      <c r="V20" s="110"/>
      <c r="W20" s="199">
        <f>[2]WA!W75</f>
        <v>212673</v>
      </c>
      <c r="X20" s="198"/>
      <c r="Y20" s="198"/>
      <c r="Z20" s="198"/>
      <c r="AA20" s="274"/>
      <c r="AB20" s="21"/>
      <c r="AC20" s="21"/>
      <c r="AD20" s="21"/>
      <c r="AE20" s="21"/>
      <c r="AF20" s="70"/>
      <c r="AG20" s="20"/>
      <c r="AH20" s="21"/>
      <c r="AI20" s="21"/>
      <c r="AJ20" s="22">
        <f t="shared" si="0"/>
        <v>212673</v>
      </c>
      <c r="AK20" s="29">
        <f>AJ20/[2]Popn!$I$43*1000</f>
        <v>91.29417552277863</v>
      </c>
      <c r="AL20" s="19"/>
      <c r="AM20" s="57"/>
      <c r="AN20" s="2"/>
      <c r="AO20" s="2"/>
      <c r="AP20" s="63"/>
      <c r="AQ20" s="68"/>
      <c r="AR20" s="21">
        <f>L22*'[2]Lfill en &amp; composn'!$I$93/SUM('[2]Lfill en &amp; composn'!$I$82,'[2]Lfill en &amp; composn'!$I$84:$I$85,'[2]Lfill en &amp; composn'!$I$87:$I$88)*'[2]Lfill en &amp; composn'!$D$24</f>
        <v>6231.6992750559029</v>
      </c>
      <c r="AS20" s="35">
        <f>AR20/SUM($AR$7:$AR$49)</f>
        <v>2.8188343565628791E-2</v>
      </c>
      <c r="AT20" s="21">
        <f>AS20*'[2]Lfill en &amp; composn'!$I$64/'[2]Lfill en &amp; composn'!$B$24</f>
        <v>4221.3421231307784</v>
      </c>
      <c r="AU20" s="25"/>
      <c r="AV20" s="21"/>
      <c r="AW20" s="22"/>
      <c r="AX20" s="83"/>
      <c r="AY20" s="20"/>
      <c r="AZ20" s="21"/>
      <c r="BA20" s="21"/>
      <c r="BB20" s="21"/>
      <c r="BC20" s="29"/>
    </row>
    <row r="21" spans="1:67">
      <c r="A21" s="699"/>
      <c r="B21" s="23"/>
      <c r="C21" s="17" t="s">
        <v>0</v>
      </c>
      <c r="D21" s="201"/>
      <c r="E21" s="2"/>
      <c r="F21" s="2"/>
      <c r="G21" s="199"/>
      <c r="H21" s="198">
        <f>[2]Biosolids!$I$192</f>
        <v>11296.584915162315</v>
      </c>
      <c r="I21" s="112"/>
      <c r="J21" s="21"/>
      <c r="K21" s="21"/>
      <c r="L21" s="22"/>
      <c r="M21" s="68" t="s">
        <v>193</v>
      </c>
      <c r="N21" s="23"/>
      <c r="O21" s="19"/>
      <c r="P21" s="19"/>
      <c r="Q21" s="19"/>
      <c r="R21" s="34"/>
      <c r="T21" s="57"/>
      <c r="U21" s="2"/>
      <c r="V21" s="110"/>
      <c r="W21" s="199"/>
      <c r="X21" s="198"/>
      <c r="Y21" s="198"/>
      <c r="Z21" s="198"/>
      <c r="AA21" s="278">
        <f>[2]Biosolids!$I$191</f>
        <v>93904.238630200663</v>
      </c>
      <c r="AB21" s="21"/>
      <c r="AC21" s="21"/>
      <c r="AD21" s="21"/>
      <c r="AE21" s="21"/>
      <c r="AF21" s="355" t="s">
        <v>196</v>
      </c>
      <c r="AG21" s="20"/>
      <c r="AH21" s="21"/>
      <c r="AI21" s="21"/>
      <c r="AJ21" s="22">
        <f>AA21</f>
        <v>93904.238630200663</v>
      </c>
      <c r="AK21" s="29">
        <f>AJ21/[2]Popn!$I$43*1000</f>
        <v>40.310288771204753</v>
      </c>
      <c r="AL21" s="19"/>
      <c r="AM21" s="57"/>
      <c r="AN21" s="2"/>
      <c r="AO21" s="2"/>
      <c r="AP21" s="63"/>
      <c r="AQ21" s="68"/>
      <c r="AR21" s="21">
        <f>L22*'[2]Lfill en &amp; composn'!$I$87/SUM('[2]Lfill en &amp; composn'!$I$82,'[2]Lfill en &amp; composn'!$I$84:$I$85,'[2]Lfill en &amp; composn'!$I$87:$I$88)*'[2]Lfill en &amp; composn'!$D$21</f>
        <v>318.32598460321623</v>
      </c>
      <c r="AS21" s="35">
        <f>AR21/SUM($AR$7:$AR$49)</f>
        <v>1.4399093768500285E-3</v>
      </c>
      <c r="AT21" s="21">
        <f>AS21*'[2]Lfill en &amp; composn'!$I$64/'[2]Lfill en &amp; composn'!$B$21</f>
        <v>1035.0406167291812</v>
      </c>
      <c r="AU21" s="25"/>
      <c r="AV21" s="21"/>
      <c r="AW21" s="22"/>
      <c r="AX21" s="2"/>
      <c r="AY21" s="23"/>
      <c r="AZ21" s="19"/>
      <c r="BA21" s="19"/>
      <c r="BB21" s="21"/>
      <c r="BC21" s="24"/>
    </row>
    <row r="22" spans="1:67" s="106" customFormat="1">
      <c r="A22" s="699"/>
      <c r="B22" s="107" t="s">
        <v>67</v>
      </c>
      <c r="C22" s="108"/>
      <c r="D22" s="109"/>
      <c r="E22" s="110"/>
      <c r="F22" s="110"/>
      <c r="G22" s="63"/>
      <c r="H22" s="110"/>
      <c r="I22" s="112">
        <f>D50*[2]WA!$F$382</f>
        <v>657480.87431274238</v>
      </c>
      <c r="J22" s="113">
        <f>E50*[2]WA!J$349</f>
        <v>566823.84543008055</v>
      </c>
      <c r="K22" s="113">
        <f>F50*[2]WA!K$349</f>
        <v>72218.290488158658</v>
      </c>
      <c r="L22" s="114">
        <f>SUM(I22:K22)</f>
        <v>1296523.0102309815</v>
      </c>
      <c r="M22" s="110"/>
      <c r="N22" s="112">
        <f>I22-AU22</f>
        <v>593389.69414348633</v>
      </c>
      <c r="O22" s="113">
        <f>J22-AV22</f>
        <v>511569.90478935314</v>
      </c>
      <c r="P22" s="113">
        <f>K22-AW22</f>
        <v>65178.457623011935</v>
      </c>
      <c r="Q22" s="114">
        <f>SUM(N22:P22)</f>
        <v>1170138.0565558514</v>
      </c>
      <c r="R22" s="115">
        <f>Q22/[2]Popn!$I$43*1000</f>
        <v>502.30536608357892</v>
      </c>
      <c r="T22" s="109"/>
      <c r="U22" s="110"/>
      <c r="V22" s="110"/>
      <c r="W22" s="203"/>
      <c r="X22" s="130"/>
      <c r="Y22" s="130"/>
      <c r="Z22" s="130"/>
      <c r="AA22" s="276"/>
      <c r="AB22" s="113"/>
      <c r="AC22" s="113"/>
      <c r="AD22" s="113"/>
      <c r="AE22" s="113"/>
      <c r="AF22" s="117"/>
      <c r="AG22" s="112"/>
      <c r="AH22" s="113"/>
      <c r="AI22" s="113"/>
      <c r="AJ22" s="114">
        <f>SUM(AJ17:AJ21)</f>
        <v>577621.23863020062</v>
      </c>
      <c r="AK22" s="118">
        <f>SUM(AK17:AK21)</f>
        <v>247.95556909053022</v>
      </c>
      <c r="AL22" s="119"/>
      <c r="AM22" s="109"/>
      <c r="AN22" s="110"/>
      <c r="AO22" s="110"/>
      <c r="AP22" s="111"/>
      <c r="AQ22" s="116"/>
      <c r="AR22" s="113"/>
      <c r="AS22" s="113"/>
      <c r="AT22" s="113">
        <f>SUM(AT17:AT21)</f>
        <v>126384.95367513013</v>
      </c>
      <c r="AU22" s="120">
        <f>$AT22*I22/SUM($I22:$K22)</f>
        <v>64091.180169256018</v>
      </c>
      <c r="AV22" s="113">
        <f>$AT22*J22/SUM($I22:$K22)</f>
        <v>55253.940640727393</v>
      </c>
      <c r="AW22" s="114">
        <f>$AT22*K22/SUM($I22:$K22)</f>
        <v>7039.8328651467218</v>
      </c>
      <c r="AX22" s="110"/>
      <c r="AY22" s="241">
        <f>AU22</f>
        <v>64091.180169256018</v>
      </c>
      <c r="AZ22" s="242">
        <f>AV22</f>
        <v>55253.940640727393</v>
      </c>
      <c r="BA22" s="242">
        <f>AW22</f>
        <v>7039.8328651467218</v>
      </c>
      <c r="BB22" s="243">
        <f>AT22+AP22</f>
        <v>126384.95367513013</v>
      </c>
      <c r="BC22" s="118">
        <f>BB22/[2]Popn!$I$43*1000</f>
        <v>54.253290940813251</v>
      </c>
      <c r="BD22" s="122"/>
      <c r="BG22" s="146"/>
      <c r="BH22" s="138" t="s">
        <v>72</v>
      </c>
      <c r="BI22" s="138" t="s">
        <v>68</v>
      </c>
      <c r="BJ22" s="138" t="s">
        <v>69</v>
      </c>
      <c r="BK22" s="138" t="s">
        <v>73</v>
      </c>
      <c r="BL22" s="138" t="s">
        <v>78</v>
      </c>
      <c r="BM22" s="6"/>
      <c r="BN22" s="6"/>
      <c r="BO22" s="6"/>
    </row>
    <row r="23" spans="1:67">
      <c r="A23" s="699"/>
      <c r="B23" s="23" t="s">
        <v>5</v>
      </c>
      <c r="C23" s="17" t="s">
        <v>26</v>
      </c>
      <c r="D23" s="57"/>
      <c r="E23" s="2"/>
      <c r="F23" s="2"/>
      <c r="G23" s="63"/>
      <c r="H23" s="2"/>
      <c r="I23" s="20"/>
      <c r="J23" s="21"/>
      <c r="K23" s="21"/>
      <c r="L23" s="22"/>
      <c r="M23" s="2"/>
      <c r="N23" s="23"/>
      <c r="O23" s="19"/>
      <c r="P23" s="19"/>
      <c r="Q23" s="19"/>
      <c r="R23" s="33"/>
      <c r="T23" s="57"/>
      <c r="U23" s="2"/>
      <c r="V23" s="110"/>
      <c r="W23" s="199">
        <f>[2]WA!W78</f>
        <v>146578</v>
      </c>
      <c r="X23" s="198"/>
      <c r="Y23" s="198"/>
      <c r="Z23" s="198"/>
      <c r="AA23" s="274"/>
      <c r="AB23" s="21"/>
      <c r="AC23" s="21"/>
      <c r="AD23" s="21"/>
      <c r="AE23" s="21"/>
      <c r="AF23" s="70"/>
      <c r="AG23" s="20"/>
      <c r="AH23" s="21"/>
      <c r="AI23" s="21"/>
      <c r="AJ23" s="22">
        <f t="shared" si="0"/>
        <v>146578</v>
      </c>
      <c r="AK23" s="29">
        <f>AJ23/[2]Popn!$I$43*1000</f>
        <v>62.921563432019326</v>
      </c>
      <c r="AL23" s="19"/>
      <c r="AM23" s="57"/>
      <c r="AN23" s="2"/>
      <c r="AO23" s="2"/>
      <c r="AP23" s="63"/>
      <c r="AQ23" s="68"/>
      <c r="AR23" s="21"/>
      <c r="AS23" s="21"/>
      <c r="AT23" s="21"/>
      <c r="AU23" s="240"/>
      <c r="AV23" s="19"/>
      <c r="AW23" s="195"/>
      <c r="AX23" s="2"/>
      <c r="AY23" s="238"/>
      <c r="BB23" s="19"/>
      <c r="BC23" s="24"/>
      <c r="BG23" s="147" t="s">
        <v>3</v>
      </c>
      <c r="BH23" s="52">
        <f>Q12/1000</f>
        <v>1707.5688081049552</v>
      </c>
      <c r="BI23" s="52">
        <f>AJ12/1000</f>
        <v>764.45399999999995</v>
      </c>
      <c r="BJ23" s="52">
        <f>BB12/1000</f>
        <v>0</v>
      </c>
      <c r="BK23" s="137">
        <f>SUM(BI23:BJ23)/BL23</f>
        <v>0.30924229238241857</v>
      </c>
      <c r="BL23" s="52">
        <f>SUM(BH23:BJ23)</f>
        <v>2472.0228081049554</v>
      </c>
    </row>
    <row r="24" spans="1:67">
      <c r="A24" s="699"/>
      <c r="B24" s="23"/>
      <c r="C24" s="17" t="s">
        <v>27</v>
      </c>
      <c r="D24" s="57"/>
      <c r="E24" s="2"/>
      <c r="F24" s="2"/>
      <c r="G24" s="63"/>
      <c r="H24" s="2"/>
      <c r="I24" s="20"/>
      <c r="J24" s="21"/>
      <c r="K24" s="21"/>
      <c r="L24" s="22"/>
      <c r="M24" s="2"/>
      <c r="N24" s="23"/>
      <c r="O24" s="19"/>
      <c r="P24" s="19"/>
      <c r="Q24" s="19"/>
      <c r="R24" s="33"/>
      <c r="T24" s="57"/>
      <c r="U24" s="2"/>
      <c r="V24" s="110"/>
      <c r="W24" s="199">
        <f>[2]WA!W79</f>
        <v>750</v>
      </c>
      <c r="X24" s="198"/>
      <c r="Y24" s="198"/>
      <c r="Z24" s="198"/>
      <c r="AA24" s="274"/>
      <c r="AB24" s="21"/>
      <c r="AC24" s="21"/>
      <c r="AD24" s="21"/>
      <c r="AE24" s="21"/>
      <c r="AF24" s="70"/>
      <c r="AG24" s="20"/>
      <c r="AH24" s="21"/>
      <c r="AI24" s="21"/>
      <c r="AJ24" s="22">
        <f t="shared" si="0"/>
        <v>750</v>
      </c>
      <c r="AK24" s="29">
        <f>AJ24/[2]Popn!$I$43*1000</f>
        <v>0.32195262982176381</v>
      </c>
      <c r="AL24" s="19"/>
      <c r="AM24" s="57"/>
      <c r="AN24" s="2"/>
      <c r="AO24" s="2"/>
      <c r="AP24" s="63"/>
      <c r="AQ24" s="68"/>
      <c r="AR24" s="21"/>
      <c r="AS24" s="21"/>
      <c r="AT24" s="21"/>
      <c r="AU24" s="240"/>
      <c r="AV24" s="19"/>
      <c r="AW24" s="195"/>
      <c r="AX24" s="2"/>
      <c r="AY24" s="238"/>
      <c r="BB24" s="19"/>
      <c r="BC24" s="24"/>
      <c r="BG24" s="147" t="s">
        <v>4</v>
      </c>
      <c r="BH24" s="52">
        <f>Q16/1000</f>
        <v>96.450571595737969</v>
      </c>
      <c r="BI24" s="52">
        <f>AJ16/1000</f>
        <v>487.07</v>
      </c>
      <c r="BJ24" s="52">
        <f>BB16/1000</f>
        <v>0</v>
      </c>
      <c r="BK24" s="137">
        <f t="shared" ref="BK24:BK31" si="3">SUM(BI24:BJ24)/BL24</f>
        <v>0.83470921799384523</v>
      </c>
      <c r="BL24" s="52">
        <f t="shared" ref="BL24:BL31" si="4">SUM(BH24:BJ24)</f>
        <v>583.52057159573792</v>
      </c>
    </row>
    <row r="25" spans="1:67">
      <c r="A25" s="699"/>
      <c r="B25" s="23"/>
      <c r="C25" s="17" t="s">
        <v>28</v>
      </c>
      <c r="D25" s="57"/>
      <c r="E25" s="2"/>
      <c r="F25" s="2"/>
      <c r="G25" s="63"/>
      <c r="H25" s="2"/>
      <c r="I25" s="20"/>
      <c r="J25" s="21"/>
      <c r="K25" s="21"/>
      <c r="L25" s="22"/>
      <c r="M25" s="2"/>
      <c r="N25" s="23"/>
      <c r="O25" s="19"/>
      <c r="P25" s="19"/>
      <c r="Q25" s="19"/>
      <c r="R25" s="33"/>
      <c r="T25" s="57"/>
      <c r="U25" s="2"/>
      <c r="V25" s="110"/>
      <c r="W25" s="199">
        <f>[2]WA!W80</f>
        <v>70130</v>
      </c>
      <c r="X25" s="198"/>
      <c r="Y25" s="198"/>
      <c r="Z25" s="198"/>
      <c r="AA25" s="274"/>
      <c r="AB25" s="21"/>
      <c r="AC25" s="21"/>
      <c r="AD25" s="21"/>
      <c r="AE25" s="21"/>
      <c r="AF25" s="70"/>
      <c r="AG25" s="20"/>
      <c r="AH25" s="21"/>
      <c r="AI25" s="21"/>
      <c r="AJ25" s="22">
        <f t="shared" si="0"/>
        <v>70130</v>
      </c>
      <c r="AK25" s="29">
        <f>AJ25/[2]Popn!$I$43*1000</f>
        <v>30.104717239200394</v>
      </c>
      <c r="AL25" s="19"/>
      <c r="AM25" s="57"/>
      <c r="AN25" s="2"/>
      <c r="AO25" s="2"/>
      <c r="AP25" s="63"/>
      <c r="AQ25" s="68"/>
      <c r="AR25" s="21"/>
      <c r="AS25" s="21"/>
      <c r="AT25" s="21"/>
      <c r="AU25" s="240"/>
      <c r="AV25" s="19"/>
      <c r="AW25" s="195"/>
      <c r="AX25" s="2"/>
      <c r="AY25" s="238"/>
      <c r="BB25" s="19"/>
      <c r="BC25" s="24"/>
      <c r="BG25" s="147" t="s">
        <v>2</v>
      </c>
      <c r="BH25" s="52">
        <f>Q22/1000</f>
        <v>1170.1380565558513</v>
      </c>
      <c r="BI25" s="52">
        <f>AJ22/1000</f>
        <v>577.62123863020065</v>
      </c>
      <c r="BJ25" s="52">
        <f>BB22/1000</f>
        <v>126.38495367513013</v>
      </c>
      <c r="BK25" s="137">
        <f t="shared" si="3"/>
        <v>0.37564141219819019</v>
      </c>
      <c r="BL25" s="52">
        <f t="shared" si="4"/>
        <v>1874.1442488611822</v>
      </c>
    </row>
    <row r="26" spans="1:67">
      <c r="A26" s="699"/>
      <c r="B26" s="23"/>
      <c r="C26" s="17" t="s">
        <v>29</v>
      </c>
      <c r="D26" s="57"/>
      <c r="E26" s="2"/>
      <c r="F26" s="2"/>
      <c r="G26" s="63"/>
      <c r="H26" s="2"/>
      <c r="I26" s="20"/>
      <c r="J26" s="21"/>
      <c r="K26" s="21"/>
      <c r="L26" s="22"/>
      <c r="M26" s="2"/>
      <c r="N26" s="23"/>
      <c r="O26" s="19"/>
      <c r="P26" s="19"/>
      <c r="Q26" s="19"/>
      <c r="R26" s="33"/>
      <c r="T26" s="57"/>
      <c r="U26" s="2"/>
      <c r="V26" s="110"/>
      <c r="W26" s="199">
        <f>[2]WA!W81</f>
        <v>27002</v>
      </c>
      <c r="X26" s="198"/>
      <c r="Y26" s="198"/>
      <c r="Z26" s="198"/>
      <c r="AA26" s="274"/>
      <c r="AB26" s="21"/>
      <c r="AC26" s="21"/>
      <c r="AD26" s="21"/>
      <c r="AE26" s="21"/>
      <c r="AF26" s="70"/>
      <c r="AG26" s="20"/>
      <c r="AH26" s="21"/>
      <c r="AI26" s="21"/>
      <c r="AJ26" s="22">
        <f t="shared" si="0"/>
        <v>27002</v>
      </c>
      <c r="AK26" s="29">
        <f>AJ26/[2]Popn!$I$43*1000</f>
        <v>11.591153213929688</v>
      </c>
      <c r="AL26" s="19"/>
      <c r="AM26" s="57"/>
      <c r="AN26" s="2"/>
      <c r="AO26" s="2"/>
      <c r="AP26" s="63"/>
      <c r="AQ26" s="68"/>
      <c r="AR26" s="21"/>
      <c r="AS26" s="21"/>
      <c r="AT26" s="21"/>
      <c r="AU26" s="240"/>
      <c r="AV26" s="19"/>
      <c r="AW26" s="195"/>
      <c r="AX26" s="2"/>
      <c r="AY26" s="238"/>
      <c r="BB26" s="19"/>
      <c r="BC26" s="24"/>
      <c r="BG26" s="147" t="s">
        <v>5</v>
      </c>
      <c r="BH26" s="52">
        <f>Q27/1000</f>
        <v>313.52809964839008</v>
      </c>
      <c r="BI26" s="52">
        <f>AJ27/1000</f>
        <v>244.46</v>
      </c>
      <c r="BJ26" s="52">
        <f>BB27/1000</f>
        <v>27.138167431097784</v>
      </c>
      <c r="BK26" s="137">
        <f t="shared" si="3"/>
        <v>0.46417018464529453</v>
      </c>
      <c r="BL26" s="52">
        <f t="shared" si="4"/>
        <v>585.12626707948789</v>
      </c>
    </row>
    <row r="27" spans="1:67" s="106" customFormat="1">
      <c r="A27" s="699"/>
      <c r="B27" s="107" t="s">
        <v>67</v>
      </c>
      <c r="C27" s="108"/>
      <c r="D27" s="109"/>
      <c r="E27" s="110"/>
      <c r="F27" s="110"/>
      <c r="G27" s="63"/>
      <c r="H27" s="110"/>
      <c r="I27" s="112">
        <f>D50*[2]WA!$F$383</f>
        <v>114194.04659116053</v>
      </c>
      <c r="J27" s="113">
        <f>E50*[2]WA!J$350</f>
        <v>218287.48089966938</v>
      </c>
      <c r="K27" s="113">
        <f>F50*[2]WA!K$350</f>
        <v>8184.7395886579807</v>
      </c>
      <c r="L27" s="114">
        <f>SUM(I27:K27)</f>
        <v>340666.26707948791</v>
      </c>
      <c r="M27" s="110"/>
      <c r="N27" s="112">
        <f>I27-AU27</f>
        <v>105097.11667616428</v>
      </c>
      <c r="O27" s="113">
        <f>J27-AV27</f>
        <v>200898.25637928105</v>
      </c>
      <c r="P27" s="113">
        <f>K27-AW27</f>
        <v>7532.7265929447667</v>
      </c>
      <c r="Q27" s="114">
        <f>SUM(N27:P27)</f>
        <v>313528.09964839008</v>
      </c>
      <c r="R27" s="115">
        <f>Q27/[2]Popn!$I$43*1000</f>
        <v>134.58826160642562</v>
      </c>
      <c r="T27" s="109"/>
      <c r="U27" s="110"/>
      <c r="V27" s="110"/>
      <c r="W27" s="203"/>
      <c r="X27" s="130"/>
      <c r="Y27" s="130"/>
      <c r="Z27" s="130"/>
      <c r="AA27" s="276"/>
      <c r="AB27" s="113"/>
      <c r="AC27" s="113"/>
      <c r="AD27" s="113"/>
      <c r="AE27" s="113"/>
      <c r="AF27" s="117"/>
      <c r="AG27" s="112"/>
      <c r="AH27" s="113"/>
      <c r="AI27" s="113"/>
      <c r="AJ27" s="114">
        <f>SUM(AJ23:AJ26)</f>
        <v>244460</v>
      </c>
      <c r="AK27" s="118">
        <f>SUM(AK23:AK26)</f>
        <v>104.93938651497118</v>
      </c>
      <c r="AL27" s="119"/>
      <c r="AM27" s="109"/>
      <c r="AN27" s="110"/>
      <c r="AO27" s="110"/>
      <c r="AP27" s="111"/>
      <c r="AQ27" s="117"/>
      <c r="AR27" s="113">
        <f>L27*'[2]Lfill en &amp; composn'!$D$17</f>
        <v>66770.588347579629</v>
      </c>
      <c r="AS27" s="123">
        <f>AR27/SUM($AR$7:$AR$49)</f>
        <v>0.30202874069269986</v>
      </c>
      <c r="AT27" s="113">
        <f>AS27*'[2]Lfill en &amp; composn'!$I$64/'[2]Lfill en &amp; composn'!$B$17</f>
        <v>27138.167431097783</v>
      </c>
      <c r="AU27" s="120">
        <f>$AT27*I27/SUM($I27:$K27)</f>
        <v>9096.9299149962499</v>
      </c>
      <c r="AV27" s="113">
        <f>$AT27*J27/SUM($I27:$K27)</f>
        <v>17389.224520388318</v>
      </c>
      <c r="AW27" s="114">
        <f>$AT27*K27/SUM($I27:$K27)</f>
        <v>652.01299571321374</v>
      </c>
      <c r="AX27" s="110"/>
      <c r="AY27" s="241">
        <f>AU27</f>
        <v>9096.9299149962499</v>
      </c>
      <c r="AZ27" s="242">
        <f>AV27</f>
        <v>17389.224520388318</v>
      </c>
      <c r="BA27" s="242">
        <f>AW27</f>
        <v>652.01299571321374</v>
      </c>
      <c r="BB27" s="114">
        <f>AT27+AP27</f>
        <v>27138.167431097783</v>
      </c>
      <c r="BC27" s="118">
        <f>BB27/[2]Popn!$I$43*1000</f>
        <v>11.64960583064703</v>
      </c>
      <c r="BD27" s="122"/>
      <c r="BG27" s="147" t="s">
        <v>6</v>
      </c>
      <c r="BH27" s="52">
        <f>Q37/1000</f>
        <v>224.30521041539782</v>
      </c>
      <c r="BI27" s="52">
        <f>AJ37/1000</f>
        <v>14.353</v>
      </c>
      <c r="BJ27" s="52">
        <f>BB37/1000</f>
        <v>0</v>
      </c>
      <c r="BK27" s="137">
        <f t="shared" si="3"/>
        <v>6.0140399004156651E-2</v>
      </c>
      <c r="BL27" s="52">
        <f t="shared" si="4"/>
        <v>238.65821041539783</v>
      </c>
      <c r="BM27" s="6"/>
      <c r="BN27" s="6"/>
      <c r="BO27" s="6"/>
    </row>
    <row r="28" spans="1:67">
      <c r="A28" s="699"/>
      <c r="B28" s="23" t="s">
        <v>6</v>
      </c>
      <c r="C28" s="17" t="s">
        <v>30</v>
      </c>
      <c r="D28" s="57"/>
      <c r="E28" s="2"/>
      <c r="F28" s="2"/>
      <c r="G28" s="63"/>
      <c r="H28" s="2"/>
      <c r="I28" s="20"/>
      <c r="J28" s="21"/>
      <c r="K28" s="21"/>
      <c r="L28" s="22"/>
      <c r="M28" s="2"/>
      <c r="N28" s="23"/>
      <c r="O28" s="19"/>
      <c r="P28" s="19"/>
      <c r="Q28" s="19"/>
      <c r="R28" s="33"/>
      <c r="T28" s="57"/>
      <c r="U28" s="2"/>
      <c r="V28" s="110"/>
      <c r="W28" s="199">
        <f>[2]WA!W83</f>
        <v>1808</v>
      </c>
      <c r="X28" s="198"/>
      <c r="Y28" s="198"/>
      <c r="Z28" s="198"/>
      <c r="AA28" s="274"/>
      <c r="AB28" s="21"/>
      <c r="AC28" s="21"/>
      <c r="AD28" s="21"/>
      <c r="AE28" s="21"/>
      <c r="AF28" s="70"/>
      <c r="AG28" s="20"/>
      <c r="AH28" s="21"/>
      <c r="AI28" s="21"/>
      <c r="AJ28" s="22">
        <f t="shared" si="0"/>
        <v>1808</v>
      </c>
      <c r="AK28" s="29">
        <f>AJ28/[2]Popn!$I$43*1000</f>
        <v>0.7761204729569986</v>
      </c>
      <c r="AL28" s="19"/>
      <c r="AM28" s="57"/>
      <c r="AN28" s="2"/>
      <c r="AO28" s="2"/>
      <c r="AP28" s="63"/>
      <c r="AQ28" s="68"/>
      <c r="AR28" s="21"/>
      <c r="AS28" s="21"/>
      <c r="AT28" s="21"/>
      <c r="AU28" s="240"/>
      <c r="AV28" s="19"/>
      <c r="AW28" s="195"/>
      <c r="AX28" s="2"/>
      <c r="AY28" s="238"/>
      <c r="BB28" s="19"/>
      <c r="BC28" s="24"/>
      <c r="BG28" s="147" t="s">
        <v>8</v>
      </c>
      <c r="BH28" s="52">
        <f>Q38/1000</f>
        <v>82.231505443055241</v>
      </c>
      <c r="BI28" s="52">
        <f>AJ38/1000</f>
        <v>26.745000000000001</v>
      </c>
      <c r="BJ28" s="52">
        <f>BB38/1000</f>
        <v>0</v>
      </c>
      <c r="BK28" s="137">
        <f t="shared" si="3"/>
        <v>0.24541987184545366</v>
      </c>
      <c r="BL28" s="52">
        <f t="shared" si="4"/>
        <v>108.97650544305525</v>
      </c>
    </row>
    <row r="29" spans="1:67">
      <c r="A29" s="699"/>
      <c r="B29" s="23"/>
      <c r="C29" s="17" t="s">
        <v>31</v>
      </c>
      <c r="D29" s="57"/>
      <c r="E29" s="2"/>
      <c r="F29" s="2"/>
      <c r="G29" s="63"/>
      <c r="H29" s="2"/>
      <c r="I29" s="20"/>
      <c r="J29" s="21"/>
      <c r="K29" s="21"/>
      <c r="L29" s="22"/>
      <c r="M29" s="2"/>
      <c r="N29" s="23"/>
      <c r="O29" s="19"/>
      <c r="P29" s="19"/>
      <c r="Q29" s="19"/>
      <c r="R29" s="33"/>
      <c r="T29" s="57"/>
      <c r="U29" s="2"/>
      <c r="V29" s="110"/>
      <c r="W29" s="199">
        <f>[2]WA!W84</f>
        <v>6056</v>
      </c>
      <c r="X29" s="198"/>
      <c r="Y29" s="198"/>
      <c r="Z29" s="198"/>
      <c r="AA29" s="274"/>
      <c r="AB29" s="21"/>
      <c r="AC29" s="21"/>
      <c r="AD29" s="21"/>
      <c r="AE29" s="21"/>
      <c r="AF29" s="70"/>
      <c r="AG29" s="20"/>
      <c r="AH29" s="21"/>
      <c r="AI29" s="21"/>
      <c r="AJ29" s="22">
        <f t="shared" si="0"/>
        <v>6056</v>
      </c>
      <c r="AK29" s="29">
        <f>AJ29/[2]Popn!$I$43*1000</f>
        <v>2.5996601682674685</v>
      </c>
      <c r="AL29" s="19"/>
      <c r="AM29" s="57"/>
      <c r="AN29" s="2"/>
      <c r="AO29" s="2"/>
      <c r="AP29" s="63"/>
      <c r="AQ29" s="68"/>
      <c r="AR29" s="21"/>
      <c r="AS29" s="21"/>
      <c r="AT29" s="21"/>
      <c r="AU29" s="240"/>
      <c r="AV29" s="19"/>
      <c r="AW29" s="195"/>
      <c r="AX29" s="2"/>
      <c r="AY29" s="238"/>
      <c r="BB29" s="19"/>
      <c r="BC29" s="24"/>
      <c r="BG29" s="147" t="s">
        <v>7</v>
      </c>
      <c r="BH29" s="52">
        <f>Q41/1000</f>
        <v>59.24711312959775</v>
      </c>
      <c r="BI29" s="52">
        <f>AJ41/1000</f>
        <v>21.47</v>
      </c>
      <c r="BJ29" s="52">
        <f>BB41/1000</f>
        <v>5.2421931077630743</v>
      </c>
      <c r="BK29" s="137">
        <f t="shared" si="3"/>
        <v>0.31075394017260055</v>
      </c>
      <c r="BL29" s="52">
        <f t="shared" si="4"/>
        <v>85.959306237360821</v>
      </c>
    </row>
    <row r="30" spans="1:67">
      <c r="A30" s="699"/>
      <c r="B30" s="23"/>
      <c r="C30" s="17" t="s">
        <v>32</v>
      </c>
      <c r="D30" s="57"/>
      <c r="E30" s="2"/>
      <c r="F30" s="2"/>
      <c r="G30" s="63"/>
      <c r="H30" s="2"/>
      <c r="I30" s="20"/>
      <c r="J30" s="21"/>
      <c r="K30" s="21"/>
      <c r="L30" s="22"/>
      <c r="M30" s="2"/>
      <c r="N30" s="23"/>
      <c r="O30" s="19"/>
      <c r="P30" s="19"/>
      <c r="Q30" s="19"/>
      <c r="R30" s="33"/>
      <c r="T30" s="57"/>
      <c r="U30" s="2"/>
      <c r="V30" s="110"/>
      <c r="W30" s="199">
        <f>[2]WA!W85</f>
        <v>288</v>
      </c>
      <c r="X30" s="198"/>
      <c r="Y30" s="198"/>
      <c r="Z30" s="198"/>
      <c r="AA30" s="274"/>
      <c r="AB30" s="21"/>
      <c r="AC30" s="21"/>
      <c r="AD30" s="21"/>
      <c r="AE30" s="21"/>
      <c r="AF30" s="70"/>
      <c r="AG30" s="20"/>
      <c r="AH30" s="21"/>
      <c r="AI30" s="21"/>
      <c r="AJ30" s="22">
        <f t="shared" si="0"/>
        <v>288</v>
      </c>
      <c r="AK30" s="29">
        <f>AJ30/[2]Popn!$I$43*1000</f>
        <v>0.1236298098515573</v>
      </c>
      <c r="AL30" s="19"/>
      <c r="AM30" s="57"/>
      <c r="AN30" s="2"/>
      <c r="AO30" s="2"/>
      <c r="AP30" s="63"/>
      <c r="AQ30" s="68"/>
      <c r="AR30" s="21"/>
      <c r="AS30" s="21"/>
      <c r="AT30" s="21"/>
      <c r="AU30" s="240"/>
      <c r="AV30" s="19"/>
      <c r="AW30" s="195"/>
      <c r="AX30" s="2"/>
      <c r="AY30" s="238"/>
      <c r="BB30" s="19"/>
      <c r="BC30" s="24"/>
      <c r="BG30" s="147" t="s">
        <v>11</v>
      </c>
      <c r="BH30" s="52">
        <f>Q46/1000</f>
        <v>8.4325772445089644</v>
      </c>
      <c r="BI30" s="52">
        <f>AJ46/1000</f>
        <v>0</v>
      </c>
      <c r="BJ30" s="52">
        <f>BB46/1000</f>
        <v>0</v>
      </c>
      <c r="BK30" s="137">
        <f t="shared" si="3"/>
        <v>0</v>
      </c>
      <c r="BL30" s="52">
        <f t="shared" si="4"/>
        <v>8.4325772445089644</v>
      </c>
    </row>
    <row r="31" spans="1:67" s="90" customFormat="1">
      <c r="A31" s="699"/>
      <c r="B31" s="91" t="s">
        <v>42</v>
      </c>
      <c r="C31" s="92"/>
      <c r="D31" s="93"/>
      <c r="E31" s="94"/>
      <c r="F31" s="94"/>
      <c r="G31" s="63"/>
      <c r="H31" s="94"/>
      <c r="I31" s="96"/>
      <c r="J31" s="97"/>
      <c r="K31" s="97"/>
      <c r="L31" s="98"/>
      <c r="M31" s="94"/>
      <c r="N31" s="96"/>
      <c r="O31" s="97"/>
      <c r="P31" s="97"/>
      <c r="Q31" s="97"/>
      <c r="R31" s="99"/>
      <c r="T31" s="93"/>
      <c r="U31" s="94"/>
      <c r="V31" s="110"/>
      <c r="W31" s="211"/>
      <c r="X31" s="289"/>
      <c r="Y31" s="289"/>
      <c r="Z31" s="289"/>
      <c r="AA31" s="280"/>
      <c r="AB31" s="97"/>
      <c r="AC31" s="97"/>
      <c r="AD31" s="97"/>
      <c r="AE31" s="97"/>
      <c r="AF31" s="101"/>
      <c r="AG31" s="96"/>
      <c r="AH31" s="97"/>
      <c r="AI31" s="97"/>
      <c r="AJ31" s="98">
        <f>SUM(AJ28:AJ30)</f>
        <v>8152</v>
      </c>
      <c r="AK31" s="102">
        <f>SUM(AK28:AK30)</f>
        <v>3.4994104510760242</v>
      </c>
      <c r="AL31" s="103"/>
      <c r="AM31" s="93"/>
      <c r="AN31" s="94"/>
      <c r="AO31" s="94"/>
      <c r="AP31" s="95"/>
      <c r="AQ31" s="100"/>
      <c r="AR31" s="97"/>
      <c r="AS31" s="128"/>
      <c r="AT31" s="128"/>
      <c r="AU31" s="104"/>
      <c r="AV31" s="97"/>
      <c r="AW31" s="98"/>
      <c r="AX31" s="94"/>
      <c r="AY31" s="239"/>
      <c r="BB31" s="97"/>
      <c r="BC31" s="105"/>
      <c r="BG31" s="147" t="s">
        <v>1</v>
      </c>
      <c r="BH31" s="52">
        <f>Q47/1000</f>
        <v>240.90711810220429</v>
      </c>
      <c r="BI31" s="52">
        <f>AJ47/1000</f>
        <v>425.50353684629545</v>
      </c>
      <c r="BJ31" s="52">
        <f>BB47/1000</f>
        <v>0</v>
      </c>
      <c r="BK31" s="137">
        <f t="shared" si="3"/>
        <v>0.63850050068478925</v>
      </c>
      <c r="BL31" s="52">
        <f t="shared" si="4"/>
        <v>666.41065494849977</v>
      </c>
      <c r="BM31" s="6"/>
      <c r="BN31" s="6"/>
      <c r="BO31" s="6"/>
    </row>
    <row r="32" spans="1:67">
      <c r="A32" s="699"/>
      <c r="B32" s="23"/>
      <c r="C32" s="17" t="s">
        <v>33</v>
      </c>
      <c r="D32" s="57"/>
      <c r="E32" s="2"/>
      <c r="F32" s="2"/>
      <c r="G32" s="63"/>
      <c r="H32" s="2"/>
      <c r="I32" s="20"/>
      <c r="J32" s="21"/>
      <c r="K32" s="21"/>
      <c r="L32" s="22"/>
      <c r="M32" s="2"/>
      <c r="N32" s="23"/>
      <c r="O32" s="19"/>
      <c r="P32" s="19"/>
      <c r="Q32" s="19"/>
      <c r="R32" s="33"/>
      <c r="T32" s="57"/>
      <c r="U32" s="2"/>
      <c r="V32" s="110"/>
      <c r="W32" s="199">
        <f>[2]WA!W87</f>
        <v>1968</v>
      </c>
      <c r="X32" s="198"/>
      <c r="Y32" s="198"/>
      <c r="Z32" s="198"/>
      <c r="AA32" s="274"/>
      <c r="AB32" s="21"/>
      <c r="AC32" s="21"/>
      <c r="AD32" s="21"/>
      <c r="AE32" s="21"/>
      <c r="AF32" s="70"/>
      <c r="AG32" s="20"/>
      <c r="AH32" s="21"/>
      <c r="AI32" s="21"/>
      <c r="AJ32" s="22">
        <f t="shared" si="0"/>
        <v>1968</v>
      </c>
      <c r="AK32" s="29">
        <f>AJ32/[2]Popn!$I$43*1000</f>
        <v>0.84480370065230814</v>
      </c>
      <c r="AL32" s="19"/>
      <c r="AM32" s="57"/>
      <c r="AN32" s="2"/>
      <c r="AO32" s="2"/>
      <c r="AP32" s="63"/>
      <c r="AQ32" s="68"/>
      <c r="AR32" s="21"/>
      <c r="AS32" s="21"/>
      <c r="AT32" s="21"/>
      <c r="AU32" s="240"/>
      <c r="AV32" s="19"/>
      <c r="AW32" s="195"/>
      <c r="AX32" s="2"/>
      <c r="AY32" s="238"/>
      <c r="BB32" s="19"/>
      <c r="BC32" s="24"/>
      <c r="BG32" s="142"/>
    </row>
    <row r="33" spans="1:84">
      <c r="A33" s="699"/>
      <c r="B33" s="23"/>
      <c r="C33" s="17" t="s">
        <v>34</v>
      </c>
      <c r="D33" s="57"/>
      <c r="E33" s="2"/>
      <c r="F33" s="2"/>
      <c r="G33" s="63"/>
      <c r="H33" s="2"/>
      <c r="I33" s="20"/>
      <c r="J33" s="21"/>
      <c r="K33" s="21"/>
      <c r="L33" s="22"/>
      <c r="M33" s="2"/>
      <c r="N33" s="23"/>
      <c r="O33" s="19"/>
      <c r="P33" s="19"/>
      <c r="Q33" s="19"/>
      <c r="R33" s="33"/>
      <c r="T33" s="57"/>
      <c r="U33" s="2"/>
      <c r="V33" s="110"/>
      <c r="W33" s="199">
        <f>[2]WA!W88</f>
        <v>1904</v>
      </c>
      <c r="X33" s="198"/>
      <c r="Y33" s="198"/>
      <c r="Z33" s="198"/>
      <c r="AA33" s="274"/>
      <c r="AB33" s="21"/>
      <c r="AC33" s="21"/>
      <c r="AD33" s="21"/>
      <c r="AE33" s="21"/>
      <c r="AF33" s="70"/>
      <c r="AG33" s="20"/>
      <c r="AH33" s="21"/>
      <c r="AI33" s="21"/>
      <c r="AJ33" s="22">
        <f t="shared" si="0"/>
        <v>1904</v>
      </c>
      <c r="AK33" s="29">
        <f>AJ33/[2]Popn!$I$43*1000</f>
        <v>0.81733040957418435</v>
      </c>
      <c r="AL33" s="19"/>
      <c r="AM33" s="57"/>
      <c r="AN33" s="2"/>
      <c r="AO33" s="2"/>
      <c r="AP33" s="63"/>
      <c r="AQ33" s="68"/>
      <c r="AR33" s="21"/>
      <c r="AS33" s="21"/>
      <c r="AT33" s="21"/>
      <c r="AU33" s="240"/>
      <c r="AV33" s="19"/>
      <c r="AW33" s="195"/>
      <c r="AX33" s="2"/>
      <c r="AY33" s="238"/>
      <c r="BB33" s="19"/>
      <c r="BC33" s="24"/>
    </row>
    <row r="34" spans="1:84">
      <c r="A34" s="699"/>
      <c r="B34" s="23"/>
      <c r="C34" s="17" t="s">
        <v>35</v>
      </c>
      <c r="D34" s="57"/>
      <c r="E34" s="2"/>
      <c r="F34" s="2"/>
      <c r="G34" s="63"/>
      <c r="H34" s="2"/>
      <c r="I34" s="20"/>
      <c r="J34" s="21"/>
      <c r="K34" s="21"/>
      <c r="L34" s="22"/>
      <c r="M34" s="2"/>
      <c r="N34" s="23"/>
      <c r="O34" s="19"/>
      <c r="P34" s="19"/>
      <c r="Q34" s="19"/>
      <c r="R34" s="33"/>
      <c r="T34" s="57"/>
      <c r="U34" s="2"/>
      <c r="V34" s="110"/>
      <c r="W34" s="199">
        <f>[2]WA!W89</f>
        <v>374</v>
      </c>
      <c r="X34" s="198"/>
      <c r="Y34" s="198"/>
      <c r="Z34" s="198"/>
      <c r="AA34" s="274"/>
      <c r="AB34" s="21"/>
      <c r="AC34" s="21"/>
      <c r="AD34" s="21"/>
      <c r="AE34" s="21"/>
      <c r="AF34" s="70"/>
      <c r="AG34" s="20"/>
      <c r="AH34" s="21"/>
      <c r="AI34" s="21"/>
      <c r="AJ34" s="22">
        <f t="shared" si="0"/>
        <v>374</v>
      </c>
      <c r="AK34" s="29">
        <f>AJ34/[2]Popn!$I$43*1000</f>
        <v>0.16054704473778622</v>
      </c>
      <c r="AL34" s="19"/>
      <c r="AM34" s="57"/>
      <c r="AN34" s="2"/>
      <c r="AO34" s="2"/>
      <c r="AP34" s="63"/>
      <c r="AQ34" s="68"/>
      <c r="AR34" s="21"/>
      <c r="AS34" s="21"/>
      <c r="AT34" s="21"/>
      <c r="AU34" s="240"/>
      <c r="AV34" s="19"/>
      <c r="AW34" s="195"/>
      <c r="AX34" s="2"/>
      <c r="AY34" s="238"/>
      <c r="BB34" s="19"/>
      <c r="BC34" s="24"/>
    </row>
    <row r="35" spans="1:84">
      <c r="A35" s="699"/>
      <c r="B35" s="23"/>
      <c r="C35" s="17" t="s">
        <v>36</v>
      </c>
      <c r="D35" s="57"/>
      <c r="E35" s="2"/>
      <c r="F35" s="2"/>
      <c r="G35" s="63"/>
      <c r="H35" s="2"/>
      <c r="I35" s="20"/>
      <c r="J35" s="21"/>
      <c r="K35" s="21"/>
      <c r="L35" s="22"/>
      <c r="M35" s="2"/>
      <c r="N35" s="23"/>
      <c r="O35" s="19"/>
      <c r="P35" s="19"/>
      <c r="Q35" s="19"/>
      <c r="R35" s="33"/>
      <c r="T35" s="57"/>
      <c r="U35" s="2"/>
      <c r="V35" s="110"/>
      <c r="W35" s="199">
        <f>[2]WA!W90</f>
        <v>1955</v>
      </c>
      <c r="X35" s="198"/>
      <c r="Y35" s="198"/>
      <c r="Z35" s="198"/>
      <c r="AA35" s="274"/>
      <c r="AB35" s="21"/>
      <c r="AC35" s="21"/>
      <c r="AD35" s="21"/>
      <c r="AE35" s="21"/>
      <c r="AF35" s="70"/>
      <c r="AG35" s="20"/>
      <c r="AH35" s="21"/>
      <c r="AI35" s="21"/>
      <c r="AJ35" s="22">
        <f t="shared" si="0"/>
        <v>1955</v>
      </c>
      <c r="AK35" s="29">
        <f>AJ35/[2]Popn!$I$43*1000</f>
        <v>0.83922318840206434</v>
      </c>
      <c r="AL35" s="19"/>
      <c r="AM35" s="57"/>
      <c r="AN35" s="2"/>
      <c r="AO35" s="2"/>
      <c r="AP35" s="63"/>
      <c r="AQ35" s="68"/>
      <c r="AR35" s="21"/>
      <c r="AS35" s="21"/>
      <c r="AT35" s="21"/>
      <c r="AU35" s="240"/>
      <c r="AV35" s="19"/>
      <c r="AW35" s="195"/>
      <c r="AX35" s="2"/>
      <c r="AY35" s="238"/>
      <c r="BB35" s="19"/>
      <c r="BC35" s="24"/>
    </row>
    <row r="36" spans="1:84" s="90" customFormat="1">
      <c r="A36" s="699"/>
      <c r="B36" s="91" t="s">
        <v>43</v>
      </c>
      <c r="C36" s="92"/>
      <c r="D36" s="93"/>
      <c r="E36" s="94"/>
      <c r="F36" s="94"/>
      <c r="G36" s="63"/>
      <c r="H36" s="94"/>
      <c r="I36" s="96"/>
      <c r="J36" s="97"/>
      <c r="K36" s="97"/>
      <c r="L36" s="98"/>
      <c r="M36" s="94"/>
      <c r="N36" s="96"/>
      <c r="O36" s="97"/>
      <c r="P36" s="97"/>
      <c r="Q36" s="97"/>
      <c r="R36" s="99"/>
      <c r="T36" s="93"/>
      <c r="U36" s="94"/>
      <c r="V36" s="110"/>
      <c r="W36" s="211"/>
      <c r="X36" s="289"/>
      <c r="Y36" s="289"/>
      <c r="Z36" s="289"/>
      <c r="AA36" s="280"/>
      <c r="AB36" s="97"/>
      <c r="AC36" s="97"/>
      <c r="AD36" s="97"/>
      <c r="AE36" s="97"/>
      <c r="AF36" s="101"/>
      <c r="AG36" s="96"/>
      <c r="AH36" s="97"/>
      <c r="AI36" s="97"/>
      <c r="AJ36" s="98">
        <f>SUM(AJ32:AJ35)</f>
        <v>6201</v>
      </c>
      <c r="AK36" s="102">
        <f>SUM(AK32:AK35)</f>
        <v>2.6619043433663427</v>
      </c>
      <c r="AL36" s="103"/>
      <c r="AM36" s="93"/>
      <c r="AN36" s="94"/>
      <c r="AO36" s="94"/>
      <c r="AP36" s="95"/>
      <c r="AQ36" s="100"/>
      <c r="AR36" s="97"/>
      <c r="AS36" s="97"/>
      <c r="AT36" s="97"/>
      <c r="AU36" s="104"/>
      <c r="AV36" s="97"/>
      <c r="AW36" s="98"/>
      <c r="AX36" s="94"/>
      <c r="AY36" s="239"/>
      <c r="BB36" s="97"/>
      <c r="BC36" s="105"/>
      <c r="BG36" s="143"/>
    </row>
    <row r="37" spans="1:84" s="106" customFormat="1">
      <c r="A37" s="699"/>
      <c r="B37" s="107" t="s">
        <v>67</v>
      </c>
      <c r="C37" s="108"/>
      <c r="D37" s="109"/>
      <c r="E37" s="110"/>
      <c r="F37" s="110"/>
      <c r="G37" s="63"/>
      <c r="H37" s="110"/>
      <c r="I37" s="112">
        <f>D50*[2]WA!$F$384</f>
        <v>89971.067011217368</v>
      </c>
      <c r="J37" s="113">
        <f>E50*[2]WA!J$351</f>
        <v>126630.85908544355</v>
      </c>
      <c r="K37" s="113">
        <f>F50*[2]WA!K$351</f>
        <v>7703.2843187369244</v>
      </c>
      <c r="L37" s="114">
        <f>SUM(I37:K37)</f>
        <v>224305.21041539783</v>
      </c>
      <c r="M37" s="110"/>
      <c r="N37" s="112">
        <f t="shared" ref="N37:P38" si="5">I37-AU37</f>
        <v>89971.067011217368</v>
      </c>
      <c r="O37" s="113">
        <f t="shared" si="5"/>
        <v>126630.85908544355</v>
      </c>
      <c r="P37" s="113">
        <f t="shared" si="5"/>
        <v>7703.2843187369244</v>
      </c>
      <c r="Q37" s="114">
        <f>SUM(N37:P37)</f>
        <v>224305.21041539783</v>
      </c>
      <c r="R37" s="115">
        <f>Q37/[2]Popn!$I$43*1000</f>
        <v>96.287536501281878</v>
      </c>
      <c r="T37" s="109"/>
      <c r="U37" s="110"/>
      <c r="V37" s="110"/>
      <c r="W37" s="203"/>
      <c r="X37" s="130"/>
      <c r="Y37" s="130"/>
      <c r="Z37" s="130"/>
      <c r="AA37" s="276"/>
      <c r="AB37" s="113"/>
      <c r="AC37" s="113"/>
      <c r="AD37" s="113"/>
      <c r="AE37" s="113"/>
      <c r="AF37" s="117"/>
      <c r="AG37" s="112"/>
      <c r="AH37" s="113"/>
      <c r="AI37" s="113"/>
      <c r="AJ37" s="114">
        <f>AJ31+AJ36</f>
        <v>14353</v>
      </c>
      <c r="AK37" s="115">
        <f>AK31+AK36</f>
        <v>6.161314794442367</v>
      </c>
      <c r="AL37" s="119"/>
      <c r="AM37" s="109"/>
      <c r="AN37" s="110"/>
      <c r="AO37" s="110"/>
      <c r="AP37" s="111"/>
      <c r="AQ37" s="116"/>
      <c r="AR37" s="113"/>
      <c r="AS37" s="113"/>
      <c r="AT37" s="113"/>
      <c r="AU37" s="120"/>
      <c r="AV37" s="113"/>
      <c r="AW37" s="114"/>
      <c r="AX37" s="110"/>
      <c r="AY37" s="237"/>
      <c r="BB37" s="113"/>
      <c r="BC37" s="118">
        <f>BB37/[2]Popn!$I$43*1000</f>
        <v>0</v>
      </c>
      <c r="BG37" s="144"/>
    </row>
    <row r="38" spans="1:84" s="106" customFormat="1">
      <c r="A38" s="699"/>
      <c r="B38" s="37" t="s">
        <v>8</v>
      </c>
      <c r="C38" s="129" t="s">
        <v>8</v>
      </c>
      <c r="D38" s="109"/>
      <c r="E38" s="110"/>
      <c r="F38" s="110"/>
      <c r="G38" s="63"/>
      <c r="H38" s="110"/>
      <c r="I38" s="112">
        <f>D50*[2]WA!$F$385</f>
        <v>69208.513085551836</v>
      </c>
      <c r="J38" s="113">
        <f>E50*[2]WA!J$352</f>
        <v>12060.08181766129</v>
      </c>
      <c r="K38" s="113">
        <f>F50*[2]WA!K$352</f>
        <v>962.91053984211555</v>
      </c>
      <c r="L38" s="114">
        <f>SUM(I38:K38)</f>
        <v>82231.505443055241</v>
      </c>
      <c r="M38" s="110"/>
      <c r="N38" s="112">
        <f t="shared" si="5"/>
        <v>69208.513085551836</v>
      </c>
      <c r="O38" s="113">
        <f t="shared" si="5"/>
        <v>12060.08181766129</v>
      </c>
      <c r="P38" s="113">
        <f t="shared" si="5"/>
        <v>962.91053984211555</v>
      </c>
      <c r="Q38" s="114">
        <f>SUM(N38:P38)</f>
        <v>82231.505443055241</v>
      </c>
      <c r="R38" s="115">
        <f>Q38/[2]Popn!$I$43*1000</f>
        <v>35.299532575459089</v>
      </c>
      <c r="T38" s="202"/>
      <c r="U38" s="130"/>
      <c r="V38" s="110"/>
      <c r="W38" s="199">
        <f>[2]WA!W93</f>
        <v>26745</v>
      </c>
      <c r="X38" s="130"/>
      <c r="Y38" s="130"/>
      <c r="Z38" s="130"/>
      <c r="AA38" s="276"/>
      <c r="AB38" s="113"/>
      <c r="AC38" s="113"/>
      <c r="AD38" s="113"/>
      <c r="AE38" s="113"/>
      <c r="AF38" s="117"/>
      <c r="AG38" s="112"/>
      <c r="AH38" s="113"/>
      <c r="AI38" s="113"/>
      <c r="AJ38" s="114">
        <f t="shared" si="0"/>
        <v>26745</v>
      </c>
      <c r="AK38" s="118">
        <f>AJ38/[2]Popn!$I$43*1000</f>
        <v>11.480830779444098</v>
      </c>
      <c r="AL38" s="119"/>
      <c r="AM38" s="109"/>
      <c r="AN38" s="110"/>
      <c r="AO38" s="110"/>
      <c r="AP38" s="111"/>
      <c r="AQ38" s="116"/>
      <c r="AR38" s="113"/>
      <c r="AS38" s="113"/>
      <c r="AT38" s="113"/>
      <c r="AU38" s="120"/>
      <c r="AV38" s="113"/>
      <c r="AW38" s="114"/>
      <c r="AX38" s="110"/>
      <c r="AY38" s="237"/>
      <c r="BB38" s="113"/>
      <c r="BC38" s="121"/>
      <c r="BG38" s="144"/>
    </row>
    <row r="39" spans="1:84">
      <c r="A39" s="699"/>
      <c r="B39" s="23" t="s">
        <v>7</v>
      </c>
      <c r="C39" s="17" t="s">
        <v>9</v>
      </c>
      <c r="D39" s="57"/>
      <c r="E39" s="2"/>
      <c r="F39" s="2"/>
      <c r="G39" s="63"/>
      <c r="H39" s="2"/>
      <c r="I39" s="20"/>
      <c r="J39" s="21"/>
      <c r="K39" s="21"/>
      <c r="L39" s="22"/>
      <c r="M39" s="2"/>
      <c r="N39" s="20"/>
      <c r="O39" s="21"/>
      <c r="P39" s="21"/>
      <c r="Q39" s="22"/>
      <c r="R39" s="34"/>
      <c r="T39" s="57"/>
      <c r="U39" s="2"/>
      <c r="V39" s="110"/>
      <c r="W39" s="199">
        <f>[2]WA!W94</f>
        <v>5326</v>
      </c>
      <c r="X39" s="198"/>
      <c r="Y39" s="198"/>
      <c r="Z39" s="198"/>
      <c r="AA39" s="274"/>
      <c r="AB39" s="21"/>
      <c r="AC39" s="21"/>
      <c r="AD39" s="21"/>
      <c r="AE39" s="21"/>
      <c r="AF39" s="70"/>
      <c r="AG39" s="20"/>
      <c r="AH39" s="21"/>
      <c r="AI39" s="21"/>
      <c r="AJ39" s="22">
        <f t="shared" si="0"/>
        <v>5326</v>
      </c>
      <c r="AK39" s="29">
        <f>AJ39/[2]Popn!$I$43*1000</f>
        <v>2.286292941907619</v>
      </c>
      <c r="AL39" s="19"/>
      <c r="AM39" s="57"/>
      <c r="AN39" s="2"/>
      <c r="AO39" s="2"/>
      <c r="AP39" s="63"/>
      <c r="AQ39" s="68"/>
      <c r="AR39" s="21"/>
      <c r="AS39" s="35"/>
      <c r="AT39" s="21"/>
      <c r="AU39" s="25"/>
      <c r="AV39" s="21"/>
      <c r="AW39" s="22"/>
      <c r="AX39" s="2"/>
      <c r="AY39" s="238"/>
      <c r="BB39" s="21"/>
      <c r="BC39" s="29"/>
    </row>
    <row r="40" spans="1:84">
      <c r="A40" s="699"/>
      <c r="B40" s="23"/>
      <c r="C40" s="17" t="s">
        <v>10</v>
      </c>
      <c r="D40" s="57"/>
      <c r="E40" s="2"/>
      <c r="F40" s="2"/>
      <c r="G40" s="63"/>
      <c r="H40" s="2"/>
      <c r="I40" s="20"/>
      <c r="J40" s="21"/>
      <c r="K40" s="21"/>
      <c r="L40" s="22"/>
      <c r="M40" s="2"/>
      <c r="N40" s="20"/>
      <c r="O40" s="21"/>
      <c r="P40" s="21"/>
      <c r="Q40" s="22"/>
      <c r="R40" s="33"/>
      <c r="T40" s="57"/>
      <c r="U40" s="2"/>
      <c r="V40" s="110"/>
      <c r="W40" s="199">
        <f>[2]WA!W95</f>
        <v>16144</v>
      </c>
      <c r="X40" s="198"/>
      <c r="Y40" s="198"/>
      <c r="Z40" s="198"/>
      <c r="AA40" s="274"/>
      <c r="AB40" s="21"/>
      <c r="AC40" s="21"/>
      <c r="AD40" s="21"/>
      <c r="AE40" s="21"/>
      <c r="AF40" s="70"/>
      <c r="AG40" s="20"/>
      <c r="AH40" s="21"/>
      <c r="AI40" s="21"/>
      <c r="AJ40" s="22">
        <f t="shared" si="0"/>
        <v>16144</v>
      </c>
      <c r="AK40" s="29">
        <f>AJ40/[2]Popn!$I$43*1000</f>
        <v>6.9301376744567396</v>
      </c>
      <c r="AL40" s="19"/>
      <c r="AM40" s="57"/>
      <c r="AN40" s="2"/>
      <c r="AO40" s="2"/>
      <c r="AP40" s="63"/>
      <c r="AQ40" s="68"/>
      <c r="AR40" s="21"/>
      <c r="AS40" s="21"/>
      <c r="AT40" s="21"/>
      <c r="AU40" s="240"/>
      <c r="AV40" s="21"/>
      <c r="AW40" s="195"/>
      <c r="AX40" s="2"/>
      <c r="AY40" s="238"/>
      <c r="BB40" s="21"/>
      <c r="BC40" s="29"/>
    </row>
    <row r="41" spans="1:84" s="106" customFormat="1" ht="15.75">
      <c r="A41" s="699"/>
      <c r="B41" s="107" t="s">
        <v>67</v>
      </c>
      <c r="C41" s="108"/>
      <c r="D41" s="109"/>
      <c r="E41" s="110"/>
      <c r="F41" s="110"/>
      <c r="G41" s="63"/>
      <c r="H41" s="110"/>
      <c r="I41" s="112">
        <f>D50*[2]WA!$F$386</f>
        <v>13841.702617110366</v>
      </c>
      <c r="J41" s="113">
        <f>E50*[2]WA!J$353</f>
        <v>48240.327270645161</v>
      </c>
      <c r="K41" s="113">
        <f>F50*[2]WA!K$353</f>
        <v>2407.2763496052885</v>
      </c>
      <c r="L41" s="114">
        <f>SUM(I41:K41)</f>
        <v>64489.306237360812</v>
      </c>
      <c r="M41" s="110"/>
      <c r="N41" s="112">
        <f>I41-AU41</f>
        <v>12716.541217605572</v>
      </c>
      <c r="O41" s="113">
        <f>J41-AV41</f>
        <v>44318.977733969477</v>
      </c>
      <c r="P41" s="113">
        <f>K41-AW41</f>
        <v>2211.5941780226913</v>
      </c>
      <c r="Q41" s="114">
        <f>SUM(N41:P41)</f>
        <v>59247.113129597747</v>
      </c>
      <c r="R41" s="115">
        <f>Q41/[2]Popn!$I$43*1000</f>
        <v>25.433018508562057</v>
      </c>
      <c r="T41" s="109"/>
      <c r="U41" s="110"/>
      <c r="V41" s="110"/>
      <c r="W41" s="203"/>
      <c r="X41" s="130"/>
      <c r="Y41" s="130"/>
      <c r="Z41" s="130"/>
      <c r="AA41" s="276"/>
      <c r="AB41" s="113"/>
      <c r="AC41" s="113"/>
      <c r="AD41" s="113"/>
      <c r="AE41" s="113"/>
      <c r="AF41" s="117"/>
      <c r="AG41" s="112"/>
      <c r="AH41" s="113"/>
      <c r="AI41" s="113"/>
      <c r="AJ41" s="114">
        <f>SUM(AJ39:AJ40)</f>
        <v>21470</v>
      </c>
      <c r="AK41" s="118">
        <f>SUM(AK39:AK40)</f>
        <v>9.2164306163643595</v>
      </c>
      <c r="AL41" s="119"/>
      <c r="AM41" s="109"/>
      <c r="AN41" s="110"/>
      <c r="AO41" s="110"/>
      <c r="AP41" s="111"/>
      <c r="AQ41" s="116"/>
      <c r="AR41" s="113">
        <f>L41*'[2]Lfill en &amp; composn'!$D$25</f>
        <v>10157.065732384328</v>
      </c>
      <c r="AS41" s="113">
        <f>AR41/SUM($AR$7:$AR$49)</f>
        <v>4.5944267501668884E-2</v>
      </c>
      <c r="AT41" s="113">
        <f>AS41*'[2]Lfill en &amp; composn'!$I$64/'[2]Lfill en &amp; composn'!$B$25</f>
        <v>5242.1931077630743</v>
      </c>
      <c r="AU41" s="120">
        <f>$AT41*I41/SUM($I41:$K41)</f>
        <v>1125.1613995047931</v>
      </c>
      <c r="AV41" s="113">
        <f>$AT41*J41/SUM($I41:$K41)</f>
        <v>3921.3495366756842</v>
      </c>
      <c r="AW41" s="114">
        <f>$AT41*K41/SUM($I41:$K41)</f>
        <v>195.68217158259722</v>
      </c>
      <c r="AX41" s="110"/>
      <c r="AY41" s="241">
        <f>AU41</f>
        <v>1125.1613995047931</v>
      </c>
      <c r="AZ41" s="242">
        <f>AV41</f>
        <v>3921.3495366756842</v>
      </c>
      <c r="BA41" s="242">
        <f>AW41</f>
        <v>195.68217158259722</v>
      </c>
      <c r="BB41" s="114">
        <f>AT41+AP41</f>
        <v>5242.1931077630743</v>
      </c>
      <c r="BC41" s="118">
        <f>BB41/[2]Popn!$I$43*1000</f>
        <v>2.250317142770462</v>
      </c>
      <c r="BD41" s="122"/>
      <c r="BG41" s="144"/>
      <c r="BR41" s="336" t="s">
        <v>106</v>
      </c>
      <c r="BS41" s="315"/>
      <c r="BT41" s="316" t="s">
        <v>109</v>
      </c>
      <c r="BU41" s="316"/>
      <c r="BV41" s="314"/>
      <c r="BW41" s="310" t="s">
        <v>107</v>
      </c>
      <c r="BX41" s="314"/>
      <c r="BY41" s="314"/>
      <c r="BZ41" s="314"/>
      <c r="CA41" s="314"/>
      <c r="CB41" s="314"/>
      <c r="CC41" s="314"/>
      <c r="CD41" s="6"/>
      <c r="CE41" s="6"/>
      <c r="CF41" s="6"/>
    </row>
    <row r="42" spans="1:84" ht="38.25">
      <c r="A42" s="699"/>
      <c r="B42" s="23" t="s">
        <v>11</v>
      </c>
      <c r="C42" s="17" t="s">
        <v>12</v>
      </c>
      <c r="D42" s="57"/>
      <c r="E42" s="2"/>
      <c r="F42" s="2"/>
      <c r="G42" s="63"/>
      <c r="H42" s="2"/>
      <c r="I42" s="20"/>
      <c r="J42" s="21"/>
      <c r="K42" s="21"/>
      <c r="L42" s="22"/>
      <c r="M42" s="729" t="s">
        <v>97</v>
      </c>
      <c r="N42" s="20"/>
      <c r="O42" s="21"/>
      <c r="P42" s="21"/>
      <c r="Q42" s="22"/>
      <c r="R42" s="33"/>
      <c r="T42" s="57"/>
      <c r="U42" s="2"/>
      <c r="V42" s="2"/>
      <c r="W42" s="199"/>
      <c r="X42" s="198"/>
      <c r="Y42" s="198"/>
      <c r="Z42" s="198"/>
      <c r="AA42" s="274"/>
      <c r="AB42" s="21"/>
      <c r="AC42" s="21"/>
      <c r="AD42" s="21"/>
      <c r="AE42" s="21"/>
      <c r="AF42" s="70"/>
      <c r="AG42" s="20"/>
      <c r="AH42" s="21"/>
      <c r="AI42" s="21"/>
      <c r="AJ42" s="22">
        <f t="shared" si="0"/>
        <v>0</v>
      </c>
      <c r="AK42" s="29">
        <f>AJ42/[2]Popn!$I$43*1000</f>
        <v>0</v>
      </c>
      <c r="AL42" s="19"/>
      <c r="AM42" s="57"/>
      <c r="AN42" s="2"/>
      <c r="AO42" s="2"/>
      <c r="AP42" s="63"/>
      <c r="AQ42" s="68"/>
      <c r="AR42" s="21"/>
      <c r="AS42" s="21"/>
      <c r="AT42" s="21"/>
      <c r="AU42" s="25"/>
      <c r="AV42" s="21"/>
      <c r="AW42" s="22"/>
      <c r="AX42" s="2"/>
      <c r="AY42" s="23"/>
      <c r="AZ42" s="19"/>
      <c r="BA42" s="19"/>
      <c r="BB42" s="19"/>
      <c r="BC42" s="24"/>
      <c r="BR42" s="317"/>
      <c r="BS42" s="317"/>
      <c r="BT42" s="317"/>
      <c r="BU42" s="317"/>
      <c r="BV42" s="318" t="s">
        <v>100</v>
      </c>
      <c r="BW42" s="311" t="s">
        <v>104</v>
      </c>
      <c r="BX42" s="318" t="s">
        <v>101</v>
      </c>
      <c r="BY42" s="319" t="s">
        <v>102</v>
      </c>
      <c r="BZ42" s="318" t="s">
        <v>103</v>
      </c>
      <c r="CA42" s="574" t="s">
        <v>192</v>
      </c>
      <c r="CB42" s="574" t="s">
        <v>258</v>
      </c>
      <c r="CC42" s="317"/>
    </row>
    <row r="43" spans="1:84" ht="15" customHeight="1">
      <c r="A43" s="699"/>
      <c r="B43" s="23"/>
      <c r="C43" s="17" t="s">
        <v>13</v>
      </c>
      <c r="D43" s="57"/>
      <c r="E43" s="2"/>
      <c r="F43" s="2"/>
      <c r="G43" s="199"/>
      <c r="H43" s="3"/>
      <c r="I43" s="20"/>
      <c r="J43" s="21"/>
      <c r="K43" s="21"/>
      <c r="L43" s="22"/>
      <c r="M43" s="729"/>
      <c r="N43" s="20"/>
      <c r="O43" s="21"/>
      <c r="P43" s="21"/>
      <c r="Q43" s="22"/>
      <c r="R43" s="34"/>
      <c r="T43" s="57"/>
      <c r="U43" s="2"/>
      <c r="V43" s="198"/>
      <c r="W43" s="199"/>
      <c r="X43" s="198"/>
      <c r="Y43" s="198"/>
      <c r="Z43" s="198"/>
      <c r="AA43" s="282"/>
      <c r="AB43" s="21"/>
      <c r="AC43" s="21"/>
      <c r="AD43" s="21"/>
      <c r="AE43" s="21"/>
      <c r="AF43" s="70"/>
      <c r="AG43" s="20"/>
      <c r="AH43" s="21"/>
      <c r="AI43" s="21"/>
      <c r="AJ43" s="22">
        <f t="shared" si="0"/>
        <v>0</v>
      </c>
      <c r="AK43" s="29">
        <f>AJ43/[2]Popn!$I$43*1000</f>
        <v>0</v>
      </c>
      <c r="AL43" s="19"/>
      <c r="AM43" s="57"/>
      <c r="AN43" s="2"/>
      <c r="AO43" s="2"/>
      <c r="AP43" s="64"/>
      <c r="AQ43" s="69"/>
      <c r="AR43" s="21"/>
      <c r="AS43" s="21"/>
      <c r="AT43" s="21"/>
      <c r="AU43" s="25"/>
      <c r="AV43" s="21"/>
      <c r="AW43" s="22"/>
      <c r="AX43" s="2"/>
      <c r="AY43" s="20"/>
      <c r="AZ43" s="21"/>
      <c r="BA43" s="21"/>
      <c r="BB43" s="21"/>
      <c r="BC43" s="24"/>
      <c r="BR43" s="317"/>
      <c r="BS43" s="317"/>
      <c r="BT43" s="317"/>
      <c r="BU43" s="320" t="s">
        <v>72</v>
      </c>
      <c r="BV43" s="321">
        <f>BL151</f>
        <v>1.7765363631396029</v>
      </c>
      <c r="BW43" s="307">
        <f>AVERAGE(BV43,BX43)</f>
        <v>1.7505295371497551</v>
      </c>
      <c r="BX43" s="322">
        <f>BL104</f>
        <v>1.7245227111599071</v>
      </c>
      <c r="BY43" s="322">
        <f>BL57</f>
        <v>2.1655535133950461</v>
      </c>
      <c r="BZ43" s="322">
        <f>BL10</f>
        <v>1.5719452805607879</v>
      </c>
      <c r="CA43" s="553">
        <f>(BZ43-BV43)/BV43</f>
        <v>-0.11516290171356205</v>
      </c>
      <c r="CB43" s="594">
        <f>(BZ43/BV43)^(1/4)-1</f>
        <v>-3.0124852961571413E-2</v>
      </c>
      <c r="CC43" s="317"/>
    </row>
    <row r="44" spans="1:84" ht="15" customHeight="1">
      <c r="A44" s="699"/>
      <c r="B44" s="23"/>
      <c r="C44" s="17" t="s">
        <v>14</v>
      </c>
      <c r="D44" s="57"/>
      <c r="E44" s="2"/>
      <c r="F44" s="2"/>
      <c r="G44" s="199"/>
      <c r="H44" s="3"/>
      <c r="I44" s="20"/>
      <c r="J44" s="21"/>
      <c r="K44" s="21"/>
      <c r="L44" s="22"/>
      <c r="M44" s="729"/>
      <c r="N44" s="20"/>
      <c r="O44" s="21"/>
      <c r="P44" s="21"/>
      <c r="Q44" s="22"/>
      <c r="R44" s="34"/>
      <c r="T44" s="57"/>
      <c r="U44" s="2"/>
      <c r="V44" s="2"/>
      <c r="W44" s="199"/>
      <c r="X44" s="198"/>
      <c r="Y44" s="198"/>
      <c r="Z44" s="198"/>
      <c r="AA44" s="282"/>
      <c r="AB44" s="21"/>
      <c r="AC44" s="21"/>
      <c r="AD44" s="21"/>
      <c r="AE44" s="21"/>
      <c r="AF44" s="70"/>
      <c r="AG44" s="20"/>
      <c r="AH44" s="21"/>
      <c r="AI44" s="21"/>
      <c r="AJ44" s="22">
        <f t="shared" si="0"/>
        <v>0</v>
      </c>
      <c r="AK44" s="29">
        <f>AJ44/[2]Popn!$I$43*1000</f>
        <v>0</v>
      </c>
      <c r="AL44" s="19"/>
      <c r="AM44" s="57"/>
      <c r="AN44" s="2"/>
      <c r="AO44" s="2"/>
      <c r="AP44" s="64"/>
      <c r="AQ44" s="69"/>
      <c r="AR44" s="21"/>
      <c r="AS44" s="21"/>
      <c r="AT44" s="21"/>
      <c r="AU44" s="25"/>
      <c r="AV44" s="21"/>
      <c r="AW44" s="22"/>
      <c r="AX44" s="2"/>
      <c r="AY44" s="23"/>
      <c r="AZ44" s="19"/>
      <c r="BA44" s="19"/>
      <c r="BB44" s="21"/>
      <c r="BC44" s="24"/>
      <c r="BR44" s="317"/>
      <c r="BS44" s="317"/>
      <c r="BT44" s="317"/>
      <c r="BU44" s="323" t="s">
        <v>68</v>
      </c>
      <c r="BV44" s="335">
        <f>BL152</f>
        <v>0.7129725006189358</v>
      </c>
      <c r="BW44" s="308">
        <f>AVERAGE(BV44,BX44)</f>
        <v>0.70151680686334639</v>
      </c>
      <c r="BX44" s="324">
        <f>BL105</f>
        <v>0.69006111310775708</v>
      </c>
      <c r="BY44" s="324">
        <f>BL58</f>
        <v>0.83013889547535868</v>
      </c>
      <c r="BZ44" s="324">
        <f>BL11</f>
        <v>0.91699545590915632</v>
      </c>
      <c r="CA44" s="328">
        <f t="shared" ref="CA44:CA47" si="6">(BZ44-BV44)/BV44</f>
        <v>0.28615823908089993</v>
      </c>
      <c r="CB44" s="593">
        <f t="shared" ref="CB44:CB47" si="7">(BZ44/BV44)^(1/4)-1</f>
        <v>6.4936226806541875E-2</v>
      </c>
      <c r="CC44" s="317"/>
    </row>
    <row r="45" spans="1:84" ht="15" customHeight="1">
      <c r="A45" s="699"/>
      <c r="B45" s="23"/>
      <c r="C45" s="17" t="s">
        <v>15</v>
      </c>
      <c r="D45" s="57"/>
      <c r="E45" s="2"/>
      <c r="F45" s="2"/>
      <c r="G45" s="199"/>
      <c r="H45" s="3"/>
      <c r="I45" s="20"/>
      <c r="J45" s="21"/>
      <c r="K45" s="21"/>
      <c r="L45" s="22"/>
      <c r="M45" s="729"/>
      <c r="N45" s="20"/>
      <c r="O45" s="21"/>
      <c r="P45" s="21"/>
      <c r="Q45" s="22"/>
      <c r="R45" s="34"/>
      <c r="T45" s="57"/>
      <c r="U45" s="2"/>
      <c r="V45" s="2"/>
      <c r="W45" s="199"/>
      <c r="X45" s="198"/>
      <c r="Y45" s="198"/>
      <c r="Z45" s="198"/>
      <c r="AA45" s="282"/>
      <c r="AB45" s="21"/>
      <c r="AC45" s="21"/>
      <c r="AD45" s="21"/>
      <c r="AE45" s="21"/>
      <c r="AF45" s="70"/>
      <c r="AG45" s="20"/>
      <c r="AH45" s="21"/>
      <c r="AI45" s="21"/>
      <c r="AJ45" s="22">
        <f t="shared" si="0"/>
        <v>0</v>
      </c>
      <c r="AK45" s="29">
        <f>AJ45/[2]Popn!$I$43*1000</f>
        <v>0</v>
      </c>
      <c r="AL45" s="19"/>
      <c r="AM45" s="57"/>
      <c r="AN45" s="2"/>
      <c r="AO45" s="2"/>
      <c r="AP45" s="64"/>
      <c r="AQ45" s="69"/>
      <c r="AR45" s="21"/>
      <c r="AS45" s="21"/>
      <c r="AT45" s="21"/>
      <c r="AU45" s="25"/>
      <c r="AV45" s="21"/>
      <c r="AW45" s="22"/>
      <c r="AX45" s="2"/>
      <c r="AY45" s="23"/>
      <c r="AZ45" s="19"/>
      <c r="BA45" s="19"/>
      <c r="BB45" s="21"/>
      <c r="BC45" s="24"/>
      <c r="BR45" s="317"/>
      <c r="BS45" s="317"/>
      <c r="BT45" s="317"/>
      <c r="BU45" s="323" t="s">
        <v>69</v>
      </c>
      <c r="BV45" s="335">
        <f>BL153</f>
        <v>9.4751055700003847E-2</v>
      </c>
      <c r="BW45" s="308">
        <f>AVERAGE(BV45,BX45)</f>
        <v>9.4098702356158553E-2</v>
      </c>
      <c r="BX45" s="324">
        <f>BL106</f>
        <v>9.3446349012313273E-2</v>
      </c>
      <c r="BY45" s="324">
        <f>BL59</f>
        <v>6.9713529932427645E-2</v>
      </c>
      <c r="BZ45" s="324">
        <f>BL12</f>
        <v>6.8153213914230751E-2</v>
      </c>
      <c r="CA45" s="328">
        <f t="shared" si="6"/>
        <v>-0.28071288060352467</v>
      </c>
      <c r="CB45" s="593">
        <f t="shared" si="7"/>
        <v>-7.9072226247124622E-2</v>
      </c>
      <c r="CC45" s="317"/>
    </row>
    <row r="46" spans="1:84" s="106" customFormat="1">
      <c r="A46" s="699"/>
      <c r="B46" s="107" t="s">
        <v>67</v>
      </c>
      <c r="C46" s="108"/>
      <c r="D46" s="109"/>
      <c r="E46" s="110"/>
      <c r="F46" s="110"/>
      <c r="G46" s="63"/>
      <c r="H46" s="125"/>
      <c r="I46" s="112">
        <f>D50*[2]WA!$F$387</f>
        <v>0</v>
      </c>
      <c r="J46" s="113">
        <f>E50*[2]WA!J$354</f>
        <v>3618.0245452983872</v>
      </c>
      <c r="K46" s="113">
        <f>F50*[2]WA!K$354</f>
        <v>4814.552699210577</v>
      </c>
      <c r="L46" s="114">
        <f>SUM(I46:K46)</f>
        <v>8432.5772445089642</v>
      </c>
      <c r="M46" s="110"/>
      <c r="N46" s="112">
        <f>I46-AU46</f>
        <v>0</v>
      </c>
      <c r="O46" s="113">
        <f>J46-AV46</f>
        <v>3618.0245452983872</v>
      </c>
      <c r="P46" s="113">
        <f>K46-AW46</f>
        <v>4814.552699210577</v>
      </c>
      <c r="Q46" s="114">
        <f>SUM(N46:P46)</f>
        <v>8432.5772445089642</v>
      </c>
      <c r="R46" s="115">
        <f>Q46/[2]Popn!$I$43*1000</f>
        <v>3.6198538933930982</v>
      </c>
      <c r="T46" s="109"/>
      <c r="U46" s="110"/>
      <c r="V46" s="110"/>
      <c r="W46" s="203"/>
      <c r="X46" s="130"/>
      <c r="Y46" s="130"/>
      <c r="Z46" s="130"/>
      <c r="AA46" s="284"/>
      <c r="AB46" s="113"/>
      <c r="AC46" s="113"/>
      <c r="AD46" s="113"/>
      <c r="AE46" s="113"/>
      <c r="AF46" s="117"/>
      <c r="AG46" s="112"/>
      <c r="AH46" s="113"/>
      <c r="AI46" s="113"/>
      <c r="AJ46" s="114">
        <f>SUM(AJ42:AJ45)</f>
        <v>0</v>
      </c>
      <c r="AK46" s="118">
        <f>SUM(AK42:AK45)</f>
        <v>0</v>
      </c>
      <c r="AL46" s="119"/>
      <c r="AM46" s="109"/>
      <c r="AN46" s="110"/>
      <c r="AO46" s="110"/>
      <c r="AP46" s="124"/>
      <c r="AQ46" s="126"/>
      <c r="AR46" s="113"/>
      <c r="AS46" s="113"/>
      <c r="AT46" s="113"/>
      <c r="AU46" s="120"/>
      <c r="AV46" s="113"/>
      <c r="AW46" s="114"/>
      <c r="AX46" s="110"/>
      <c r="AY46" s="127"/>
      <c r="AZ46" s="119"/>
      <c r="BA46" s="119"/>
      <c r="BB46" s="113"/>
      <c r="BC46" s="121"/>
      <c r="BG46" s="144"/>
      <c r="BR46" s="314"/>
      <c r="BS46" s="314"/>
      <c r="BT46" s="314"/>
      <c r="BU46" s="576" t="s">
        <v>240</v>
      </c>
      <c r="BV46" s="630">
        <f>SUM(BV44:BV45)/BV47</f>
        <v>0.3125550763052406</v>
      </c>
      <c r="BW46" s="631">
        <f t="shared" ref="BW46:BZ46" si="8">SUM(BW44:BW45)/BW47</f>
        <v>0.31247847028747755</v>
      </c>
      <c r="BX46" s="328">
        <f t="shared" si="8"/>
        <v>0.31239953588572933</v>
      </c>
      <c r="BY46" s="328">
        <f t="shared" si="8"/>
        <v>0.29355081949088146</v>
      </c>
      <c r="BZ46" s="328">
        <f t="shared" si="8"/>
        <v>0.3852610380918462</v>
      </c>
      <c r="CA46" s="328">
        <f t="shared" ref="CA46" si="9">(BZ46-BV46)/BV46</f>
        <v>0.23261808013510271</v>
      </c>
      <c r="CB46" s="593">
        <f t="shared" si="7"/>
        <v>5.3676110056249504E-2</v>
      </c>
      <c r="CC46" s="314"/>
      <c r="CD46" s="6"/>
      <c r="CE46" s="6"/>
      <c r="CF46" s="6"/>
    </row>
    <row r="47" spans="1:84" s="106" customFormat="1" ht="13.5" thickBot="1">
      <c r="A47" s="699"/>
      <c r="B47" s="131" t="s">
        <v>37</v>
      </c>
      <c r="C47" s="132" t="s">
        <v>1</v>
      </c>
      <c r="D47" s="109"/>
      <c r="E47" s="110"/>
      <c r="F47" s="110"/>
      <c r="G47" s="203"/>
      <c r="H47" s="130">
        <f>'[2]Fly ash'!$F$264</f>
        <v>240907.11810220429</v>
      </c>
      <c r="I47" s="112"/>
      <c r="J47" s="113"/>
      <c r="K47" s="113"/>
      <c r="L47" s="114"/>
      <c r="M47" s="110"/>
      <c r="N47" s="127"/>
      <c r="O47" s="119"/>
      <c r="P47" s="119"/>
      <c r="Q47" s="113">
        <f>H47</f>
        <v>240907.11810220429</v>
      </c>
      <c r="R47" s="115">
        <f>Q47/[2]Popn!$I$43*1000</f>
        <v>103.41424028771588</v>
      </c>
      <c r="T47" s="109"/>
      <c r="U47" s="110"/>
      <c r="V47" s="110"/>
      <c r="W47" s="203"/>
      <c r="X47" s="130"/>
      <c r="Y47" s="130"/>
      <c r="Z47" s="130"/>
      <c r="AA47" s="285">
        <f>'[2]Fly ash'!$F$256</f>
        <v>425503.53684629546</v>
      </c>
      <c r="AB47" s="113"/>
      <c r="AC47" s="113"/>
      <c r="AD47" s="113"/>
      <c r="AE47" s="113"/>
      <c r="AF47" s="117"/>
      <c r="AG47" s="112"/>
      <c r="AH47" s="113"/>
      <c r="AI47" s="113"/>
      <c r="AJ47" s="114">
        <f>AA47</f>
        <v>425503.53684629546</v>
      </c>
      <c r="AK47" s="115">
        <f>AJ47/[2]Popn!$I$43*1000</f>
        <v>182.65597691483546</v>
      </c>
      <c r="AL47" s="119"/>
      <c r="AM47" s="109"/>
      <c r="AN47" s="110"/>
      <c r="AO47" s="110"/>
      <c r="AP47" s="111"/>
      <c r="AQ47" s="117"/>
      <c r="AR47" s="113"/>
      <c r="AS47" s="113"/>
      <c r="AT47" s="113"/>
      <c r="AU47" s="120"/>
      <c r="AV47" s="113"/>
      <c r="AW47" s="114"/>
      <c r="AX47" s="110"/>
      <c r="AY47" s="127"/>
      <c r="AZ47" s="119"/>
      <c r="BA47" s="119"/>
      <c r="BB47" s="119"/>
      <c r="BC47" s="121"/>
      <c r="BG47" s="144"/>
      <c r="BR47" s="314"/>
      <c r="BS47" s="314"/>
      <c r="BT47" s="314"/>
      <c r="BU47" s="576" t="s">
        <v>191</v>
      </c>
      <c r="BV47" s="577">
        <f>SUM(BV43:BV45)</f>
        <v>2.5842599194585425</v>
      </c>
      <c r="BW47" s="578">
        <f>SUM(BW43:BW45)</f>
        <v>2.5461450463692601</v>
      </c>
      <c r="BX47" s="579">
        <f>SUM(BX43:BX45)</f>
        <v>2.5080301732799777</v>
      </c>
      <c r="BY47" s="579">
        <f>SUM(BY43:BY45)</f>
        <v>3.0654059388028325</v>
      </c>
      <c r="BZ47" s="579">
        <f>SUM(BZ43:BZ45)</f>
        <v>2.557093950384175</v>
      </c>
      <c r="CA47" s="580">
        <f t="shared" si="6"/>
        <v>-1.0512088536380417E-2</v>
      </c>
      <c r="CB47" s="652">
        <f t="shared" si="7"/>
        <v>-2.6384458738862859E-3</v>
      </c>
      <c r="CC47" s="314"/>
      <c r="CD47" s="6"/>
      <c r="CE47" s="6"/>
      <c r="CF47" s="6"/>
    </row>
    <row r="48" spans="1:84" ht="13.5" thickBot="1">
      <c r="B48" s="19"/>
      <c r="C48" s="38"/>
      <c r="D48" s="57"/>
      <c r="E48" s="2"/>
      <c r="F48" s="2"/>
      <c r="G48" s="63"/>
      <c r="H48" s="2"/>
      <c r="I48" s="20"/>
      <c r="J48" s="21"/>
      <c r="K48" s="21"/>
      <c r="L48" s="22"/>
      <c r="M48" s="2"/>
      <c r="N48" s="23"/>
      <c r="O48" s="19"/>
      <c r="P48" s="19"/>
      <c r="Q48" s="19"/>
      <c r="R48" s="24"/>
      <c r="T48" s="57"/>
      <c r="U48" s="2"/>
      <c r="V48" s="2"/>
      <c r="W48" s="63"/>
      <c r="X48" s="2"/>
      <c r="Y48" s="2"/>
      <c r="Z48" s="2"/>
      <c r="AA48" s="274"/>
      <c r="AB48" s="21"/>
      <c r="AC48" s="21"/>
      <c r="AD48" s="21"/>
      <c r="AE48" s="21"/>
      <c r="AF48" s="70"/>
      <c r="AG48" s="20"/>
      <c r="AH48" s="21"/>
      <c r="AI48" s="21"/>
      <c r="AJ48" s="22"/>
      <c r="AK48" s="29"/>
      <c r="AL48" s="19"/>
      <c r="AM48" s="57"/>
      <c r="AN48" s="2"/>
      <c r="AO48" s="2"/>
      <c r="AP48" s="63"/>
      <c r="AQ48" s="68"/>
      <c r="AR48" s="21"/>
      <c r="AS48" s="21"/>
      <c r="AT48" s="21"/>
      <c r="AU48" s="25"/>
      <c r="AV48" s="21"/>
      <c r="AW48" s="22"/>
      <c r="AX48" s="2"/>
      <c r="AY48" s="23"/>
      <c r="AZ48" s="19"/>
      <c r="BA48" s="19"/>
      <c r="BB48" s="19"/>
      <c r="BC48" s="24"/>
      <c r="BR48" s="317"/>
      <c r="BS48" s="317"/>
      <c r="BT48" s="317"/>
      <c r="BU48" s="314"/>
      <c r="BV48" s="314"/>
      <c r="BW48" s="314"/>
      <c r="BX48" s="314"/>
      <c r="BY48" s="314"/>
      <c r="BZ48" s="314"/>
      <c r="CA48" s="314"/>
      <c r="CB48" s="314"/>
      <c r="CC48" s="317"/>
    </row>
    <row r="49" spans="1:84" ht="13.5" thickBot="1">
      <c r="C49" s="39" t="s">
        <v>38</v>
      </c>
      <c r="D49" s="58"/>
      <c r="E49" s="59"/>
      <c r="F49" s="2"/>
      <c r="G49" s="208"/>
      <c r="H49" s="2"/>
      <c r="I49" s="20"/>
      <c r="J49" s="21"/>
      <c r="K49" s="21"/>
      <c r="L49" s="22"/>
      <c r="M49" s="2"/>
      <c r="N49" s="23"/>
      <c r="O49" s="19"/>
      <c r="P49" s="19"/>
      <c r="Q49" s="19"/>
      <c r="R49" s="24"/>
      <c r="T49" s="58"/>
      <c r="U49" s="59"/>
      <c r="V49" s="2"/>
      <c r="W49" s="208"/>
      <c r="X49" s="198"/>
      <c r="Y49" s="198"/>
      <c r="Z49" s="198"/>
      <c r="AA49" s="274"/>
      <c r="AB49" s="21"/>
      <c r="AC49" s="21"/>
      <c r="AD49" s="21"/>
      <c r="AE49" s="21"/>
      <c r="AF49" s="70"/>
      <c r="AG49" s="20"/>
      <c r="AH49" s="21"/>
      <c r="AI49" s="21"/>
      <c r="AJ49" s="22"/>
      <c r="AK49" s="40"/>
      <c r="AL49" s="19"/>
      <c r="AM49" s="58"/>
      <c r="AN49" s="59"/>
      <c r="AO49" s="2"/>
      <c r="AP49" s="65"/>
      <c r="AQ49" s="68"/>
      <c r="AR49" s="21"/>
      <c r="AS49" s="21"/>
      <c r="AT49" s="21"/>
      <c r="AU49" s="25"/>
      <c r="AV49" s="21"/>
      <c r="AW49" s="22"/>
      <c r="AX49" s="2"/>
      <c r="AY49" s="23"/>
      <c r="AZ49" s="19"/>
      <c r="BA49" s="19"/>
      <c r="BB49" s="19"/>
      <c r="BC49" s="24"/>
      <c r="BR49" s="317"/>
      <c r="BS49" s="317"/>
      <c r="BT49" s="317"/>
      <c r="BU49" s="317"/>
      <c r="BV49" s="317"/>
      <c r="BW49" s="317"/>
      <c r="BX49" s="317"/>
      <c r="BY49" s="317"/>
      <c r="BZ49" s="317"/>
      <c r="CA49" s="317"/>
      <c r="CB49" s="317"/>
      <c r="CC49" s="317"/>
    </row>
    <row r="50" spans="1:84" ht="13.5" thickBot="1">
      <c r="C50" s="135" t="s">
        <v>92</v>
      </c>
      <c r="D50" s="134">
        <f>[2]WA!L43</f>
        <v>1038127.6962832775</v>
      </c>
      <c r="E50" s="134">
        <f>[2]WA!M43</f>
        <v>1086613.3717712827</v>
      </c>
      <c r="F50" s="134">
        <f>[2]WA!N43</f>
        <v>1695926.1882969255</v>
      </c>
      <c r="G50" s="66"/>
      <c r="H50" s="231"/>
      <c r="I50" s="41">
        <f>SUM(I46,I41,I38,I37,I27,I22,I16,I12)</f>
        <v>1038127.6962832775</v>
      </c>
      <c r="J50" s="218">
        <f>SUM(J46,J41,J38,J37,J27,J22,J16,J12)</f>
        <v>1086613.3717712823</v>
      </c>
      <c r="K50" s="218">
        <f>SUM(K46,K41,K38,K37,K27,K22,K16,K12)</f>
        <v>1695926.1882969257</v>
      </c>
      <c r="L50" s="42">
        <f>SUM(L46,L41,L38,L37,L27,L22,L16,L12)</f>
        <v>3820667.2563514854</v>
      </c>
      <c r="M50" s="43"/>
      <c r="N50" s="44">
        <f>SUM(N46,N41,N38,N37,N27,N22,N16,N12)</f>
        <v>963814.42479952041</v>
      </c>
      <c r="O50" s="45">
        <f>SUM(O46,O41,O38,O37,O27,O22,O16,O12)</f>
        <v>1010048.8570734909</v>
      </c>
      <c r="P50" s="45">
        <f>SUM(P46,P41,P38,P37,P27,P22,P16,P12)</f>
        <v>1688038.6602644834</v>
      </c>
      <c r="Q50" s="133">
        <f>SUM(Q46,Q41,Q38,Q37,Q27,Q22,Q16,Q12,Q49)</f>
        <v>3661901.9421374942</v>
      </c>
      <c r="R50" s="27">
        <f>SUM(R46,R41,R38,R37,R27,R22,R16,R12)</f>
        <v>1571.9452805607878</v>
      </c>
      <c r="T50" s="60"/>
      <c r="U50" s="134"/>
      <c r="V50" s="134"/>
      <c r="W50" s="66"/>
      <c r="X50" s="362"/>
      <c r="Y50" s="362"/>
      <c r="Z50" s="362"/>
      <c r="AA50" s="287"/>
      <c r="AB50" s="45"/>
      <c r="AC50" s="45"/>
      <c r="AD50" s="45"/>
      <c r="AE50" s="45"/>
      <c r="AF50" s="230"/>
      <c r="AG50" s="44">
        <f>$AJ50*[2]WA!J111</f>
        <v>582592.70144460024</v>
      </c>
      <c r="AH50" s="45">
        <f>$AJ50*[2]WA!K111</f>
        <v>453127.65667913348</v>
      </c>
      <c r="AI50" s="45">
        <f>$AJ50*[2]WA!L111</f>
        <v>1100452.8805064671</v>
      </c>
      <c r="AJ50" s="354">
        <f>SUM(AJ46,AJ41,AJ38,AJ37,AJ27,AJ22,AJ16,AJ12,AJ49)</f>
        <v>2136173.2386302007</v>
      </c>
      <c r="AK50" s="27">
        <f>SUM(AK46,AK41,AK38,AK37,AK27,AK22,AK16,AK12,AK49)</f>
        <v>916.99545590915636</v>
      </c>
      <c r="AL50" s="19"/>
      <c r="AM50" s="60"/>
      <c r="AN50" s="706"/>
      <c r="AO50" s="707"/>
      <c r="AP50" s="66"/>
      <c r="AQ50" s="71"/>
      <c r="AR50" s="45">
        <f>SUM(AR7:AR49)</f>
        <v>221073.6242996013</v>
      </c>
      <c r="AS50" s="46">
        <f>SUM(AS7:AS49)</f>
        <v>1</v>
      </c>
      <c r="AT50" s="45">
        <f>SUM(AT7:AT49)</f>
        <v>285150.26788912114</v>
      </c>
      <c r="AU50" s="47"/>
      <c r="AV50" s="45"/>
      <c r="AW50" s="214"/>
      <c r="AX50" s="43"/>
      <c r="AY50" s="44">
        <f>SUM(AY46,AY41,AY38,AY37,AY27,AY22,AY16,AY12)</f>
        <v>74313.271483757067</v>
      </c>
      <c r="AZ50" s="45">
        <f>SUM(AZ46,AZ41,AZ38,AZ37,AZ27,AZ22,AZ16,AZ12)</f>
        <v>76564.514697791397</v>
      </c>
      <c r="BA50" s="45">
        <f>SUM(BA46,BA41,BA38,BA37,BA27,BA22,BA16,BA12)</f>
        <v>7887.528032442533</v>
      </c>
      <c r="BB50" s="354">
        <f>SUM(BB46,BB41,BB38,BB37,BB27,BB22,BB16,BB12,BB49)</f>
        <v>158765.31421399099</v>
      </c>
      <c r="BC50" s="27">
        <f>SUM(BC46,BC41,BC38,BC37,BC27,BC22,BC16,BC12,BC49)</f>
        <v>68.153213914230747</v>
      </c>
      <c r="BR50" s="317"/>
      <c r="BS50" s="317"/>
      <c r="BT50" s="317"/>
      <c r="BU50" s="317"/>
      <c r="BV50" s="317"/>
      <c r="BW50" s="317"/>
      <c r="BX50" s="317"/>
      <c r="BY50" s="317"/>
      <c r="BZ50" s="317"/>
      <c r="CA50" s="317"/>
      <c r="CB50" s="317"/>
      <c r="CC50" s="317"/>
    </row>
    <row r="51" spans="1:84" ht="13.5" thickBot="1">
      <c r="C51" s="136" t="s">
        <v>65</v>
      </c>
      <c r="Q51" s="49">
        <f>Q50+Q47</f>
        <v>3902809.0602396987</v>
      </c>
      <c r="R51" s="216">
        <f>R50+R47</f>
        <v>1675.3595208485037</v>
      </c>
      <c r="AJ51" s="353">
        <f>AJ50+AJ47</f>
        <v>2561676.7754764962</v>
      </c>
      <c r="AK51" s="216">
        <f>AK50+AK47</f>
        <v>1099.6514328239919</v>
      </c>
      <c r="AW51" s="152"/>
      <c r="BB51" s="353">
        <f>BB50+BB47</f>
        <v>158765.31421399099</v>
      </c>
      <c r="BC51" s="216">
        <f>BC50+BC47</f>
        <v>68.153213914230747</v>
      </c>
      <c r="BR51" s="317"/>
      <c r="BS51" s="317"/>
      <c r="BT51" s="317"/>
      <c r="BU51" s="317"/>
      <c r="BV51" s="317"/>
      <c r="BW51" s="317"/>
      <c r="BX51" s="317"/>
      <c r="BY51" s="317"/>
      <c r="BZ51" s="317"/>
      <c r="CA51" s="317"/>
      <c r="CB51" s="317"/>
      <c r="CC51" s="317"/>
    </row>
    <row r="52" spans="1:84">
      <c r="AG52" s="52"/>
      <c r="BR52" s="317"/>
      <c r="BS52" s="317"/>
      <c r="BT52" s="317"/>
      <c r="BU52" s="317"/>
      <c r="BV52" s="317"/>
      <c r="BW52" s="317"/>
      <c r="BX52" s="317"/>
      <c r="BY52" s="317"/>
      <c r="BZ52" s="317"/>
      <c r="CA52" s="317"/>
      <c r="CB52" s="317"/>
      <c r="CC52" s="317"/>
    </row>
    <row r="53" spans="1:84" ht="13.5" thickBot="1">
      <c r="W53" s="215"/>
      <c r="AT53" s="215"/>
      <c r="AU53" s="215"/>
      <c r="AV53" s="215"/>
      <c r="AW53" s="215"/>
      <c r="BR53" s="317"/>
      <c r="BS53" s="317"/>
      <c r="BT53" s="317"/>
      <c r="BU53" s="317"/>
      <c r="BV53" s="317"/>
      <c r="BW53" s="317"/>
      <c r="BX53" s="317"/>
      <c r="BY53" s="317"/>
      <c r="BZ53" s="317"/>
      <c r="CA53" s="317"/>
      <c r="CB53" s="317"/>
      <c r="CC53" s="317"/>
    </row>
    <row r="54" spans="1:84">
      <c r="A54" s="699" t="s">
        <v>81</v>
      </c>
      <c r="B54" s="16" t="s">
        <v>3</v>
      </c>
      <c r="C54" s="148" t="s">
        <v>16</v>
      </c>
      <c r="D54" s="55"/>
      <c r="E54" s="56"/>
      <c r="F54" s="56"/>
      <c r="G54" s="149"/>
      <c r="H54" s="150"/>
      <c r="I54" s="151"/>
      <c r="J54" s="26"/>
      <c r="K54" s="26"/>
      <c r="L54" s="133"/>
      <c r="M54" s="56"/>
      <c r="N54" s="16"/>
      <c r="O54" s="18"/>
      <c r="P54" s="18"/>
      <c r="Q54" s="18"/>
      <c r="R54" s="28"/>
      <c r="S54" s="152"/>
      <c r="T54" s="55"/>
      <c r="U54" s="56"/>
      <c r="V54" s="56"/>
      <c r="W54" s="199">
        <f>[2]WA!V62</f>
        <v>54090</v>
      </c>
      <c r="X54" s="197"/>
      <c r="Y54" s="197"/>
      <c r="Z54" s="197"/>
      <c r="AA54" s="290"/>
      <c r="AB54" s="26"/>
      <c r="AC54" s="26"/>
      <c r="AD54" s="26"/>
      <c r="AE54" s="26"/>
      <c r="AF54" s="84"/>
      <c r="AG54" s="151"/>
      <c r="AH54" s="26"/>
      <c r="AI54" s="26"/>
      <c r="AJ54" s="133">
        <f>W54</f>
        <v>54090</v>
      </c>
      <c r="AK54" s="27">
        <f>AJ54/[2]Popn!$I$42*1000</f>
        <v>23.750810135786661</v>
      </c>
      <c r="AL54" s="18"/>
      <c r="AM54" s="55"/>
      <c r="AN54" s="56"/>
      <c r="AO54" s="56"/>
      <c r="AP54" s="149"/>
      <c r="AQ54" s="153"/>
      <c r="AR54" s="26"/>
      <c r="AS54" s="26"/>
      <c r="AT54" s="21"/>
      <c r="AU54" s="25"/>
      <c r="AV54" s="21"/>
      <c r="AW54" s="22"/>
      <c r="AX54" s="56"/>
      <c r="AY54" s="16"/>
      <c r="AZ54" s="18"/>
      <c r="BA54" s="18"/>
      <c r="BB54" s="244"/>
      <c r="BC54" s="28"/>
      <c r="BD54" s="8"/>
      <c r="BH54" s="700" t="s">
        <v>86</v>
      </c>
      <c r="BI54" s="701"/>
      <c r="BJ54" s="701"/>
      <c r="BK54" s="701"/>
      <c r="BL54" s="702"/>
      <c r="BM54" s="700" t="s">
        <v>87</v>
      </c>
      <c r="BN54" s="702"/>
      <c r="BP54" s="8"/>
      <c r="BQ54" s="8"/>
      <c r="BR54" s="325"/>
      <c r="BS54" s="325"/>
      <c r="BT54" s="325"/>
      <c r="BU54" s="317"/>
      <c r="BV54" s="317"/>
      <c r="BW54" s="317"/>
      <c r="BX54" s="317"/>
      <c r="BY54" s="317"/>
      <c r="BZ54" s="317"/>
      <c r="CA54" s="317"/>
      <c r="CB54" s="317"/>
      <c r="CC54" s="317"/>
    </row>
    <row r="55" spans="1:84">
      <c r="A55" s="699"/>
      <c r="B55" s="23"/>
      <c r="C55" s="17" t="s">
        <v>17</v>
      </c>
      <c r="D55" s="57"/>
      <c r="E55" s="2"/>
      <c r="F55" s="2"/>
      <c r="G55" s="63"/>
      <c r="H55" s="5"/>
      <c r="I55" s="20"/>
      <c r="J55" s="21"/>
      <c r="K55" s="21"/>
      <c r="L55" s="22"/>
      <c r="M55" s="2"/>
      <c r="N55" s="23"/>
      <c r="O55" s="19"/>
      <c r="P55" s="19"/>
      <c r="Q55" s="19"/>
      <c r="R55" s="24"/>
      <c r="T55" s="57"/>
      <c r="U55" s="2"/>
      <c r="V55" s="2"/>
      <c r="W55" s="199">
        <f>[2]WA!V63</f>
        <v>12050</v>
      </c>
      <c r="X55" s="198"/>
      <c r="Y55" s="198"/>
      <c r="Z55" s="198"/>
      <c r="AA55" s="272"/>
      <c r="AB55" s="21"/>
      <c r="AC55" s="21"/>
      <c r="AD55" s="21"/>
      <c r="AE55" s="21"/>
      <c r="AF55" s="70"/>
      <c r="AG55" s="20"/>
      <c r="AH55" s="21"/>
      <c r="AI55" s="21"/>
      <c r="AJ55" s="22">
        <f>W55</f>
        <v>12050</v>
      </c>
      <c r="AK55" s="29">
        <f>AJ55/[2]Popn!$I$42*1000</f>
        <v>5.2911307475731055</v>
      </c>
      <c r="AL55" s="19"/>
      <c r="AM55" s="57"/>
      <c r="AN55" s="2"/>
      <c r="AO55" s="2"/>
      <c r="AP55" s="63"/>
      <c r="AQ55" s="67"/>
      <c r="AR55" s="21"/>
      <c r="AS55" s="21"/>
      <c r="AT55" s="21"/>
      <c r="AU55" s="25"/>
      <c r="AV55" s="21"/>
      <c r="AW55" s="22"/>
      <c r="AX55" s="2"/>
      <c r="AY55" s="23"/>
      <c r="AZ55" s="19"/>
      <c r="BA55" s="19"/>
      <c r="BB55" s="19"/>
      <c r="BC55" s="24"/>
      <c r="BD55" s="8"/>
      <c r="BH55" s="703" t="s">
        <v>79</v>
      </c>
      <c r="BI55" s="704"/>
      <c r="BJ55" s="704"/>
      <c r="BK55" s="705"/>
      <c r="BL55" s="75" t="s">
        <v>74</v>
      </c>
      <c r="BM55" s="72" t="s">
        <v>79</v>
      </c>
      <c r="BN55" s="73" t="s">
        <v>74</v>
      </c>
      <c r="BP55" s="7"/>
      <c r="BQ55" s="7"/>
      <c r="BR55" s="326"/>
      <c r="BS55" s="326"/>
      <c r="BT55" s="326"/>
      <c r="BU55" s="325"/>
      <c r="BV55" s="317"/>
      <c r="BW55" s="317"/>
      <c r="BX55" s="317"/>
      <c r="BY55" s="317"/>
      <c r="BZ55" s="317"/>
      <c r="CA55" s="317"/>
      <c r="CB55" s="317"/>
      <c r="CC55" s="317"/>
    </row>
    <row r="56" spans="1:84">
      <c r="A56" s="699"/>
      <c r="B56" s="23"/>
      <c r="C56" s="17" t="s">
        <v>18</v>
      </c>
      <c r="D56" s="57"/>
      <c r="E56" s="2"/>
      <c r="F56" s="2"/>
      <c r="G56" s="63"/>
      <c r="H56" s="5"/>
      <c r="I56" s="20"/>
      <c r="J56" s="21"/>
      <c r="K56" s="21"/>
      <c r="L56" s="22"/>
      <c r="M56" s="2"/>
      <c r="N56" s="23"/>
      <c r="O56" s="19"/>
      <c r="P56" s="19"/>
      <c r="Q56" s="19"/>
      <c r="R56" s="24"/>
      <c r="T56" s="57"/>
      <c r="U56" s="2"/>
      <c r="V56" s="2"/>
      <c r="W56" s="199">
        <f>[2]WA!V64</f>
        <v>257501</v>
      </c>
      <c r="X56" s="198"/>
      <c r="Y56" s="198"/>
      <c r="Z56" s="198"/>
      <c r="AA56" s="272"/>
      <c r="AB56" s="21"/>
      <c r="AC56" s="21"/>
      <c r="AD56" s="21"/>
      <c r="AE56" s="21"/>
      <c r="AF56" s="70"/>
      <c r="AG56" s="20"/>
      <c r="AH56" s="21"/>
      <c r="AI56" s="21"/>
      <c r="AJ56" s="22">
        <f>W56</f>
        <v>257501</v>
      </c>
      <c r="AK56" s="29">
        <f>AJ56/[2]Popn!$I$42*1000</f>
        <v>113.06817084073214</v>
      </c>
      <c r="AL56" s="19"/>
      <c r="AM56" s="57"/>
      <c r="AN56" s="2"/>
      <c r="AO56" s="2"/>
      <c r="AP56" s="63"/>
      <c r="AQ56" s="67"/>
      <c r="AR56" s="21"/>
      <c r="AS56" s="21"/>
      <c r="AT56" s="21"/>
      <c r="AU56" s="25"/>
      <c r="AV56" s="21"/>
      <c r="AW56" s="22"/>
      <c r="AX56" s="2"/>
      <c r="AY56" s="23"/>
      <c r="AZ56" s="19"/>
      <c r="BA56" s="19"/>
      <c r="BB56" s="19"/>
      <c r="BC56" s="24"/>
      <c r="BD56" s="30"/>
      <c r="BG56" s="141"/>
      <c r="BH56" s="78" t="s">
        <v>44</v>
      </c>
      <c r="BI56" s="79" t="s">
        <v>45</v>
      </c>
      <c r="BJ56" s="79" t="s">
        <v>46</v>
      </c>
      <c r="BK56" s="80" t="s">
        <v>80</v>
      </c>
      <c r="BL56" s="80" t="s">
        <v>80</v>
      </c>
      <c r="BM56" s="78" t="s">
        <v>80</v>
      </c>
      <c r="BN56" s="80" t="s">
        <v>80</v>
      </c>
      <c r="BP56" s="30"/>
      <c r="BQ56" s="30"/>
      <c r="BR56" s="327"/>
      <c r="BS56" s="328"/>
      <c r="BT56" s="328"/>
      <c r="BU56" s="326"/>
      <c r="BV56" s="317"/>
      <c r="BW56" s="317"/>
      <c r="BX56" s="317"/>
      <c r="BY56" s="317"/>
      <c r="BZ56" s="317"/>
      <c r="CA56" s="317"/>
      <c r="CB56" s="317"/>
      <c r="CC56" s="317"/>
    </row>
    <row r="57" spans="1:84">
      <c r="A57" s="699"/>
      <c r="B57" s="23"/>
      <c r="C57" s="17" t="s">
        <v>182</v>
      </c>
      <c r="D57" s="57"/>
      <c r="E57" s="2"/>
      <c r="F57" s="2"/>
      <c r="G57" s="63"/>
      <c r="H57" s="2"/>
      <c r="I57" s="20"/>
      <c r="J57" s="21"/>
      <c r="K57" s="21"/>
      <c r="L57" s="22"/>
      <c r="M57" s="2"/>
      <c r="N57" s="23"/>
      <c r="O57" s="19"/>
      <c r="P57" s="19"/>
      <c r="Q57" s="19"/>
      <c r="R57" s="24"/>
      <c r="T57" s="57"/>
      <c r="U57" s="2"/>
      <c r="V57" s="2"/>
      <c r="W57" s="199">
        <f>[2]WA!V65</f>
        <v>112657</v>
      </c>
      <c r="X57" s="198"/>
      <c r="Y57" s="198"/>
      <c r="Z57" s="198"/>
      <c r="AA57" s="274"/>
      <c r="AB57" s="21"/>
      <c r="AC57" s="21"/>
      <c r="AD57" s="21"/>
      <c r="AE57" s="21"/>
      <c r="AF57" s="70"/>
      <c r="AG57" s="20"/>
      <c r="AH57" s="21"/>
      <c r="AI57" s="21"/>
      <c r="AJ57" s="22">
        <f>W57</f>
        <v>112657</v>
      </c>
      <c r="AK57" s="29">
        <f>AJ57/[2]Popn!$I$42*1000</f>
        <v>49.467461960941357</v>
      </c>
      <c r="AL57" s="19"/>
      <c r="AM57" s="57"/>
      <c r="AN57" s="2"/>
      <c r="AO57" s="2"/>
      <c r="AP57" s="63"/>
      <c r="AQ57" s="68"/>
      <c r="AR57" s="21"/>
      <c r="AS57" s="21"/>
      <c r="AT57" s="21"/>
      <c r="AU57" s="25"/>
      <c r="AV57" s="21"/>
      <c r="AW57" s="22"/>
      <c r="AX57" s="2"/>
      <c r="AY57" s="23"/>
      <c r="AZ57" s="19"/>
      <c r="BA57" s="19"/>
      <c r="BB57" s="19"/>
      <c r="BC57" s="24"/>
      <c r="BD57" s="30"/>
      <c r="BG57" s="145" t="s">
        <v>72</v>
      </c>
      <c r="BH57" s="52">
        <f>N97/1000</f>
        <v>1308.8693692724607</v>
      </c>
      <c r="BI57" s="52">
        <f>O97/1000</f>
        <v>1371.2195666138159</v>
      </c>
      <c r="BJ57" s="52">
        <f>P97/1000</f>
        <v>2251.7339733055478</v>
      </c>
      <c r="BK57" s="53">
        <f>Q97/1000</f>
        <v>4931.8229091918247</v>
      </c>
      <c r="BL57" s="54">
        <f>R97/1000</f>
        <v>2.1655535133950461</v>
      </c>
      <c r="BM57" s="51">
        <f>Q98/1000</f>
        <v>5258.7432367282727</v>
      </c>
      <c r="BN57" s="54">
        <f>R98/1000</f>
        <v>2.3091035712402554</v>
      </c>
      <c r="BP57" s="30"/>
      <c r="BQ57" s="30"/>
      <c r="BR57" s="327"/>
      <c r="BS57" s="328"/>
      <c r="BT57" s="328"/>
      <c r="BU57" s="329"/>
      <c r="BV57" s="317"/>
      <c r="BW57" s="317"/>
      <c r="BX57" s="317"/>
      <c r="BY57" s="317"/>
      <c r="BZ57" s="317"/>
      <c r="CA57" s="317"/>
      <c r="CB57" s="317"/>
      <c r="CC57" s="317"/>
    </row>
    <row r="58" spans="1:84">
      <c r="A58" s="699"/>
      <c r="B58" s="23"/>
      <c r="C58" s="17" t="s">
        <v>183</v>
      </c>
      <c r="D58" s="57"/>
      <c r="E58" s="2"/>
      <c r="F58" s="2"/>
      <c r="G58" s="63"/>
      <c r="H58" s="2"/>
      <c r="I58" s="20"/>
      <c r="J58" s="21"/>
      <c r="K58" s="21"/>
      <c r="L58" s="22"/>
      <c r="M58" s="2"/>
      <c r="N58" s="23"/>
      <c r="O58" s="19"/>
      <c r="P58" s="19"/>
      <c r="Q58" s="19"/>
      <c r="R58" s="33"/>
      <c r="T58" s="57"/>
      <c r="U58" s="2"/>
      <c r="V58" s="2"/>
      <c r="W58" s="199"/>
      <c r="X58" s="198"/>
      <c r="Y58" s="198"/>
      <c r="Z58" s="198"/>
      <c r="AA58" s="274"/>
      <c r="AB58" s="21"/>
      <c r="AC58" s="21"/>
      <c r="AD58" s="21"/>
      <c r="AE58" s="21"/>
      <c r="AF58" s="70"/>
      <c r="AG58" s="20"/>
      <c r="AH58" s="21"/>
      <c r="AI58" s="21"/>
      <c r="AJ58" s="22">
        <f>W58</f>
        <v>0</v>
      </c>
      <c r="AK58" s="29">
        <f>AJ58/[2]Popn!$I$42*1000</f>
        <v>0</v>
      </c>
      <c r="AL58" s="19"/>
      <c r="AM58" s="57"/>
      <c r="AN58" s="2"/>
      <c r="AO58" s="2"/>
      <c r="AP58" s="63"/>
      <c r="AQ58" s="68"/>
      <c r="AR58" s="21"/>
      <c r="AS58" s="21"/>
      <c r="AT58" s="21"/>
      <c r="AU58" s="25"/>
      <c r="AV58" s="21"/>
      <c r="AW58" s="22"/>
      <c r="AX58" s="2"/>
      <c r="AY58" s="23"/>
      <c r="AZ58" s="19"/>
      <c r="BA58" s="19"/>
      <c r="BB58" s="19"/>
      <c r="BC58" s="24"/>
      <c r="BD58" s="30"/>
      <c r="BG58" s="77" t="s">
        <v>68</v>
      </c>
      <c r="BH58" s="52">
        <f>AG97/1000</f>
        <v>399.94352999999995</v>
      </c>
      <c r="BI58" s="52">
        <f>AH97/1000</f>
        <v>571.34789999999998</v>
      </c>
      <c r="BJ58" s="52">
        <f>AI97/1000</f>
        <v>933.20156999999995</v>
      </c>
      <c r="BK58" s="53">
        <f>AJ97/1000</f>
        <v>1904.4929999999999</v>
      </c>
      <c r="BL58" s="54">
        <f>AK97/1000</f>
        <v>0.83013889547535868</v>
      </c>
      <c r="BM58" s="51">
        <f>AJ98/1000</f>
        <v>2275.4327477235406</v>
      </c>
      <c r="BN58" s="54">
        <f>AK98/1000</f>
        <v>0.99301779212905483</v>
      </c>
      <c r="BR58" s="317"/>
      <c r="BS58" s="317"/>
      <c r="BT58" s="317"/>
      <c r="BU58" s="329"/>
      <c r="BV58" s="317"/>
      <c r="BW58" s="317"/>
      <c r="BX58" s="317"/>
      <c r="BY58" s="317"/>
      <c r="BZ58" s="317"/>
      <c r="CA58" s="317"/>
      <c r="CB58" s="317"/>
      <c r="CC58" s="317"/>
    </row>
    <row r="59" spans="1:84" s="106" customFormat="1">
      <c r="A59" s="699"/>
      <c r="B59" s="107" t="s">
        <v>67</v>
      </c>
      <c r="C59" s="108"/>
      <c r="D59" s="109"/>
      <c r="E59" s="110"/>
      <c r="F59" s="110"/>
      <c r="G59" s="111"/>
      <c r="H59" s="110"/>
      <c r="I59" s="112">
        <f>D97*[2]WA!$F$380</f>
        <v>96822.784852935263</v>
      </c>
      <c r="J59" s="113">
        <f>E97*[2]WA!J$347</f>
        <v>80343.178763130258</v>
      </c>
      <c r="K59" s="113">
        <f>F97*[2]WA!K$347</f>
        <v>2097967.9546134556</v>
      </c>
      <c r="L59" s="114">
        <f>SUM(I59:K59)</f>
        <v>2275133.9182295213</v>
      </c>
      <c r="M59" s="110"/>
      <c r="N59" s="112">
        <f>I59-AU59</f>
        <v>96822.784852935263</v>
      </c>
      <c r="O59" s="113">
        <f>J59-AV59</f>
        <v>80343.178763130258</v>
      </c>
      <c r="P59" s="113">
        <f>K59-AW59</f>
        <v>2097967.9546134556</v>
      </c>
      <c r="Q59" s="114">
        <f>SUM(N59:P59)</f>
        <v>2275133.9182295213</v>
      </c>
      <c r="R59" s="115">
        <f>Q59/[2]Popn!$I$42*1000</f>
        <v>999.00672444736063</v>
      </c>
      <c r="T59" s="109"/>
      <c r="U59" s="110"/>
      <c r="V59" s="2"/>
      <c r="W59" s="203"/>
      <c r="X59" s="130"/>
      <c r="Y59" s="130"/>
      <c r="Z59" s="130"/>
      <c r="AA59" s="276"/>
      <c r="AB59" s="113"/>
      <c r="AC59" s="113"/>
      <c r="AD59" s="113"/>
      <c r="AE59" s="113"/>
      <c r="AF59" s="117"/>
      <c r="AG59" s="112"/>
      <c r="AH59" s="113"/>
      <c r="AI59" s="113"/>
      <c r="AJ59" s="114">
        <f>SUM(AJ54:AJ58)</f>
        <v>436298</v>
      </c>
      <c r="AK59" s="118">
        <f>SUM(AK54:AK58)</f>
        <v>191.57757368503326</v>
      </c>
      <c r="AL59" s="119"/>
      <c r="AM59" s="109"/>
      <c r="AN59" s="110"/>
      <c r="AO59" s="110"/>
      <c r="AP59" s="111"/>
      <c r="AQ59" s="116"/>
      <c r="AR59" s="113"/>
      <c r="AS59" s="113"/>
      <c r="AT59" s="113"/>
      <c r="AU59" s="120"/>
      <c r="AV59" s="113"/>
      <c r="AW59" s="114"/>
      <c r="AX59" s="110"/>
      <c r="AY59" s="112"/>
      <c r="AZ59" s="113"/>
      <c r="BA59" s="113"/>
      <c r="BB59" s="113"/>
      <c r="BC59" s="121"/>
      <c r="BD59" s="122"/>
      <c r="BG59" s="77" t="s">
        <v>69</v>
      </c>
      <c r="BH59" s="52">
        <f>AY97/1000</f>
        <v>74.313271483757049</v>
      </c>
      <c r="BI59" s="52">
        <f>AZ97/1000</f>
        <v>76.56451469779141</v>
      </c>
      <c r="BJ59" s="52">
        <f>BA97/1000</f>
        <v>7.8875280324425319</v>
      </c>
      <c r="BK59" s="53">
        <f>BB97/1000</f>
        <v>158.76531421399099</v>
      </c>
      <c r="BL59" s="54">
        <f>BC97/1000</f>
        <v>6.9713529932427645E-2</v>
      </c>
      <c r="BM59" s="51">
        <f>BB98/1000</f>
        <v>158.76531421399099</v>
      </c>
      <c r="BN59" s="54">
        <f>BC98/1000</f>
        <v>6.9713529932427645E-2</v>
      </c>
      <c r="BO59" s="6"/>
      <c r="BR59" s="314"/>
      <c r="BS59" s="314"/>
      <c r="BT59" s="314"/>
      <c r="BU59" s="317"/>
      <c r="BV59" s="317"/>
      <c r="BW59" s="317"/>
      <c r="BX59" s="317"/>
      <c r="BY59" s="317"/>
      <c r="BZ59" s="317"/>
      <c r="CA59" s="317"/>
      <c r="CB59" s="317"/>
      <c r="CC59" s="314"/>
      <c r="CD59" s="6"/>
      <c r="CE59" s="6"/>
      <c r="CF59" s="6"/>
    </row>
    <row r="60" spans="1:84">
      <c r="A60" s="699"/>
      <c r="B60" s="23" t="s">
        <v>4</v>
      </c>
      <c r="C60" s="17" t="s">
        <v>19</v>
      </c>
      <c r="D60" s="57"/>
      <c r="E60" s="2"/>
      <c r="F60" s="2"/>
      <c r="G60" s="63"/>
      <c r="H60" s="2"/>
      <c r="I60" s="20"/>
      <c r="J60" s="21"/>
      <c r="K60" s="21"/>
      <c r="L60" s="22"/>
      <c r="M60" s="2"/>
      <c r="N60" s="23"/>
      <c r="O60" s="19"/>
      <c r="P60" s="19"/>
      <c r="Q60" s="19"/>
      <c r="R60" s="33"/>
      <c r="T60" s="57"/>
      <c r="U60" s="2"/>
      <c r="V60" s="2"/>
      <c r="W60" s="199">
        <f>[2]WA!V68</f>
        <v>413774</v>
      </c>
      <c r="X60" s="198"/>
      <c r="Y60" s="198"/>
      <c r="Z60" s="198"/>
      <c r="AA60" s="274"/>
      <c r="AB60" s="21"/>
      <c r="AC60" s="21"/>
      <c r="AD60" s="21"/>
      <c r="AE60" s="21"/>
      <c r="AF60" s="70"/>
      <c r="AG60" s="20"/>
      <c r="AH60" s="21"/>
      <c r="AI60" s="21"/>
      <c r="AJ60" s="22">
        <f>W60</f>
        <v>413774</v>
      </c>
      <c r="AK60" s="29">
        <f>AJ60/[2]Popn!$I$42*1000</f>
        <v>181.6873306179514</v>
      </c>
      <c r="AL60" s="19"/>
      <c r="AM60" s="57"/>
      <c r="AN60" s="2"/>
      <c r="AO60" s="2"/>
      <c r="AP60" s="63"/>
      <c r="AQ60" s="68"/>
      <c r="AR60" s="21"/>
      <c r="AS60" s="21"/>
      <c r="AT60" s="21"/>
      <c r="AU60" s="25"/>
      <c r="AV60" s="21"/>
      <c r="AW60" s="22"/>
      <c r="AX60" s="2"/>
      <c r="AY60" s="23"/>
      <c r="AZ60" s="19"/>
      <c r="BA60" s="19"/>
      <c r="BB60" s="19"/>
      <c r="BC60" s="24"/>
      <c r="BD60" s="30"/>
      <c r="BG60" s="145" t="s">
        <v>73</v>
      </c>
      <c r="BH60" s="86">
        <f t="shared" ref="BH60:BN60" si="10">SUM(BH58:BH59)/BH61</f>
        <v>0.26596928992558405</v>
      </c>
      <c r="BI60" s="86">
        <f t="shared" si="10"/>
        <v>0.32088660904519684</v>
      </c>
      <c r="BJ60" s="86">
        <f t="shared" si="10"/>
        <v>0.29475140870805222</v>
      </c>
      <c r="BK60" s="87">
        <f t="shared" si="10"/>
        <v>0.29495844984762265</v>
      </c>
      <c r="BL60" s="87">
        <f t="shared" si="10"/>
        <v>0.29355081949088146</v>
      </c>
      <c r="BM60" s="88">
        <f t="shared" si="10"/>
        <v>0.3164196849337324</v>
      </c>
      <c r="BN60" s="87">
        <f t="shared" si="10"/>
        <v>0.31517893244791834</v>
      </c>
      <c r="BR60" s="317"/>
      <c r="BS60" s="317"/>
      <c r="BT60" s="317"/>
      <c r="BU60" s="314"/>
      <c r="BV60" s="314"/>
      <c r="BW60" s="314"/>
      <c r="BX60" s="314"/>
      <c r="BY60" s="314"/>
      <c r="BZ60" s="314"/>
      <c r="CA60" s="314"/>
      <c r="CB60" s="314"/>
      <c r="CC60" s="317"/>
    </row>
    <row r="61" spans="1:84">
      <c r="A61" s="699"/>
      <c r="B61" s="23"/>
      <c r="C61" s="17" t="s">
        <v>20</v>
      </c>
      <c r="D61" s="57"/>
      <c r="E61" s="2"/>
      <c r="F61" s="2"/>
      <c r="G61" s="63"/>
      <c r="H61" s="2"/>
      <c r="I61" s="20"/>
      <c r="J61" s="21"/>
      <c r="K61" s="21"/>
      <c r="L61" s="22"/>
      <c r="M61" s="2"/>
      <c r="N61" s="23"/>
      <c r="O61" s="19"/>
      <c r="P61" s="19"/>
      <c r="Q61" s="19"/>
      <c r="R61" s="33"/>
      <c r="T61" s="57"/>
      <c r="U61" s="2"/>
      <c r="V61" s="2"/>
      <c r="W61" s="199">
        <f>[2]WA!V69</f>
        <v>18693</v>
      </c>
      <c r="X61" s="198"/>
      <c r="Y61" s="198"/>
      <c r="Z61" s="198"/>
      <c r="AA61" s="274"/>
      <c r="AB61" s="21"/>
      <c r="AC61" s="21"/>
      <c r="AD61" s="21"/>
      <c r="AE61" s="21"/>
      <c r="AF61" s="70"/>
      <c r="AG61" s="20"/>
      <c r="AH61" s="21"/>
      <c r="AI61" s="21"/>
      <c r="AJ61" s="22">
        <f>W61</f>
        <v>18693</v>
      </c>
      <c r="AK61" s="29">
        <f>AJ61/[2]Popn!$I$42*1000</f>
        <v>8.2080586775422457</v>
      </c>
      <c r="AL61" s="19"/>
      <c r="AM61" s="57"/>
      <c r="AN61" s="2"/>
      <c r="AO61" s="2"/>
      <c r="AP61" s="63"/>
      <c r="AQ61" s="68"/>
      <c r="AR61" s="21"/>
      <c r="AS61" s="21"/>
      <c r="AT61" s="21"/>
      <c r="AU61" s="225"/>
      <c r="AV61" s="21"/>
      <c r="AW61" s="22"/>
      <c r="AX61" s="2"/>
      <c r="AY61" s="23"/>
      <c r="AZ61" s="19"/>
      <c r="BA61" s="19"/>
      <c r="BB61" s="19"/>
      <c r="BC61" s="24"/>
      <c r="BD61" s="30"/>
      <c r="BG61" s="77" t="s">
        <v>78</v>
      </c>
      <c r="BH61" s="52">
        <f t="shared" ref="BH61:BN61" si="11">SUM(BH57:BH59)</f>
        <v>1783.1261707562178</v>
      </c>
      <c r="BI61" s="52">
        <f t="shared" si="11"/>
        <v>2019.1319813116072</v>
      </c>
      <c r="BJ61" s="52">
        <f t="shared" si="11"/>
        <v>3192.8230713379903</v>
      </c>
      <c r="BK61" s="74">
        <f t="shared" si="11"/>
        <v>6995.0812234058149</v>
      </c>
      <c r="BL61" s="76">
        <f t="shared" si="11"/>
        <v>3.0654059388028325</v>
      </c>
      <c r="BM61" s="81">
        <f t="shared" si="11"/>
        <v>7692.9412986658035</v>
      </c>
      <c r="BN61" s="76">
        <f t="shared" si="11"/>
        <v>3.3718348933017381</v>
      </c>
      <c r="BR61" s="317"/>
      <c r="BS61" s="317"/>
      <c r="BT61" s="317"/>
      <c r="BU61" s="317"/>
      <c r="BV61" s="317"/>
      <c r="BW61" s="317"/>
      <c r="BX61" s="317"/>
      <c r="BY61" s="317"/>
      <c r="BZ61" s="317"/>
      <c r="CA61" s="317"/>
      <c r="CB61" s="317"/>
      <c r="CC61" s="317"/>
    </row>
    <row r="62" spans="1:84">
      <c r="A62" s="699"/>
      <c r="B62" s="23"/>
      <c r="C62" s="17" t="s">
        <v>21</v>
      </c>
      <c r="D62" s="57"/>
      <c r="E62" s="2"/>
      <c r="F62" s="2"/>
      <c r="G62" s="63"/>
      <c r="H62" s="2"/>
      <c r="I62" s="20"/>
      <c r="J62" s="21"/>
      <c r="K62" s="21"/>
      <c r="L62" s="22"/>
      <c r="M62" s="2"/>
      <c r="N62" s="23"/>
      <c r="O62" s="19"/>
      <c r="P62" s="19"/>
      <c r="Q62" s="19"/>
      <c r="R62" s="33"/>
      <c r="T62" s="57"/>
      <c r="U62" s="2"/>
      <c r="V62" s="2"/>
      <c r="W62" s="199">
        <f>[2]WA!V70</f>
        <v>17826</v>
      </c>
      <c r="X62" s="198"/>
      <c r="Y62" s="198"/>
      <c r="Z62" s="198"/>
      <c r="AA62" s="274"/>
      <c r="AB62" s="21"/>
      <c r="AC62" s="21"/>
      <c r="AD62" s="21"/>
      <c r="AE62" s="21"/>
      <c r="AF62" s="70"/>
      <c r="AG62" s="20"/>
      <c r="AH62" s="21"/>
      <c r="AI62" s="21"/>
      <c r="AJ62" s="22">
        <f>W62</f>
        <v>17826</v>
      </c>
      <c r="AK62" s="29">
        <f>AJ62/[2]Popn!$I$42*1000</f>
        <v>7.8273607225093924</v>
      </c>
      <c r="AL62" s="19"/>
      <c r="AM62" s="57"/>
      <c r="AN62" s="2"/>
      <c r="AO62" s="2"/>
      <c r="AP62" s="63"/>
      <c r="AQ62" s="68"/>
      <c r="AR62" s="21"/>
      <c r="AS62" s="21"/>
      <c r="AT62" s="21"/>
      <c r="AU62" s="25"/>
      <c r="AV62" s="21"/>
      <c r="AW62" s="22"/>
      <c r="AX62" s="2"/>
      <c r="AY62" s="23"/>
      <c r="AZ62" s="19"/>
      <c r="BA62" s="19"/>
      <c r="BB62" s="19"/>
      <c r="BC62" s="24"/>
      <c r="BD62" s="30"/>
      <c r="BR62" s="317"/>
      <c r="BS62" s="317"/>
      <c r="BT62" s="317"/>
      <c r="BU62" s="317"/>
      <c r="BV62" s="317"/>
      <c r="BW62" s="317"/>
      <c r="BX62" s="317"/>
      <c r="BY62" s="317"/>
      <c r="BZ62" s="317"/>
      <c r="CA62" s="317"/>
      <c r="CB62" s="317"/>
      <c r="CC62" s="317"/>
    </row>
    <row r="63" spans="1:84" s="106" customFormat="1">
      <c r="A63" s="699"/>
      <c r="B63" s="107" t="s">
        <v>67</v>
      </c>
      <c r="C63" s="108"/>
      <c r="D63" s="109"/>
      <c r="E63" s="110"/>
      <c r="F63" s="110"/>
      <c r="G63" s="111"/>
      <c r="H63" s="110"/>
      <c r="I63" s="112">
        <f>D97*[2]WA!$F$381</f>
        <v>27663.652815124362</v>
      </c>
      <c r="J63" s="113">
        <f>E97*[2]WA!J$348</f>
        <v>67488.270161029432</v>
      </c>
      <c r="K63" s="113">
        <f>F97*[2]WA!K$348</f>
        <v>33357.081070142085</v>
      </c>
      <c r="L63" s="114">
        <f>SUM(I63:K63)</f>
        <v>128509.00404629587</v>
      </c>
      <c r="M63" s="110"/>
      <c r="N63" s="112">
        <f>I63-AU63</f>
        <v>27663.652815124362</v>
      </c>
      <c r="O63" s="113">
        <f>J63-AV63</f>
        <v>67488.270161029432</v>
      </c>
      <c r="P63" s="113">
        <f>K63-AW63</f>
        <v>33357.081070142085</v>
      </c>
      <c r="Q63" s="114">
        <f>SUM(N63:P63)</f>
        <v>128509.00404629587</v>
      </c>
      <c r="R63" s="115">
        <f>Q63/[2]Popn!$I$42*1000</f>
        <v>56.428045033141302</v>
      </c>
      <c r="T63" s="109"/>
      <c r="U63" s="110"/>
      <c r="V63" s="2"/>
      <c r="W63" s="203"/>
      <c r="X63" s="130"/>
      <c r="Y63" s="130"/>
      <c r="Z63" s="130"/>
      <c r="AA63" s="276"/>
      <c r="AB63" s="113"/>
      <c r="AC63" s="113"/>
      <c r="AD63" s="113"/>
      <c r="AE63" s="113"/>
      <c r="AF63" s="117"/>
      <c r="AG63" s="112"/>
      <c r="AH63" s="113"/>
      <c r="AI63" s="113"/>
      <c r="AJ63" s="114">
        <f>SUM(AJ60:AJ62)</f>
        <v>450293</v>
      </c>
      <c r="AK63" s="118">
        <f>SUM(AK60:AK62)</f>
        <v>197.72275001800304</v>
      </c>
      <c r="AL63" s="119"/>
      <c r="AM63" s="109"/>
      <c r="AN63" s="110"/>
      <c r="AO63" s="110"/>
      <c r="AP63" s="111"/>
      <c r="AQ63" s="116"/>
      <c r="AR63" s="113"/>
      <c r="AS63" s="113"/>
      <c r="AT63" s="113"/>
      <c r="AU63" s="120"/>
      <c r="AV63" s="113"/>
      <c r="AW63" s="114"/>
      <c r="AX63" s="110"/>
      <c r="AY63" s="112"/>
      <c r="AZ63" s="113"/>
      <c r="BA63" s="113"/>
      <c r="BB63" s="113"/>
      <c r="BC63" s="121"/>
      <c r="BD63" s="122"/>
      <c r="BG63" s="140"/>
      <c r="BH63" s="6"/>
      <c r="BI63" s="6"/>
      <c r="BJ63" s="6"/>
      <c r="BK63" s="6"/>
      <c r="BL63" s="6"/>
      <c r="BM63" s="6"/>
      <c r="BN63" s="6"/>
      <c r="BO63" s="6"/>
      <c r="BR63" s="314"/>
      <c r="BS63" s="314"/>
      <c r="BT63" s="314"/>
      <c r="BU63" s="317"/>
      <c r="BV63" s="317"/>
      <c r="BW63" s="317"/>
      <c r="BX63" s="317"/>
      <c r="BY63" s="317"/>
      <c r="BZ63" s="317"/>
      <c r="CA63" s="317"/>
      <c r="CB63" s="317"/>
      <c r="CC63" s="314"/>
      <c r="CD63" s="6"/>
      <c r="CE63" s="6"/>
      <c r="CF63" s="6"/>
    </row>
    <row r="64" spans="1:84">
      <c r="A64" s="699"/>
      <c r="B64" s="23" t="s">
        <v>2</v>
      </c>
      <c r="C64" s="17" t="s">
        <v>22</v>
      </c>
      <c r="D64" s="57"/>
      <c r="E64" s="2"/>
      <c r="F64" s="2"/>
      <c r="G64" s="63"/>
      <c r="H64" s="2"/>
      <c r="I64" s="20"/>
      <c r="J64" s="21"/>
      <c r="K64" s="21"/>
      <c r="L64" s="22"/>
      <c r="M64" s="2"/>
      <c r="N64" s="20"/>
      <c r="O64" s="21"/>
      <c r="P64" s="21"/>
      <c r="Q64" s="21"/>
      <c r="R64" s="34"/>
      <c r="T64" s="57"/>
      <c r="U64" s="2"/>
      <c r="V64" s="2"/>
      <c r="W64" s="199">
        <f>[2]WA!V72</f>
        <v>7453</v>
      </c>
      <c r="X64" s="198"/>
      <c r="Y64" s="198"/>
      <c r="Z64" s="198"/>
      <c r="AA64" s="274"/>
      <c r="AB64" s="21"/>
      <c r="AC64" s="21"/>
      <c r="AD64" s="21"/>
      <c r="AE64" s="21"/>
      <c r="AF64" s="70"/>
      <c r="AG64" s="20"/>
      <c r="AH64" s="21"/>
      <c r="AI64" s="21"/>
      <c r="AJ64" s="22">
        <f>W64</f>
        <v>7453</v>
      </c>
      <c r="AK64" s="29">
        <f>AJ64/[2]Popn!$I$42*1000</f>
        <v>3.2725972997230173</v>
      </c>
      <c r="AL64" s="19"/>
      <c r="AM64" s="57"/>
      <c r="AN64" s="2"/>
      <c r="AO64" s="2"/>
      <c r="AP64" s="63"/>
      <c r="AQ64" s="70"/>
      <c r="AR64" s="21">
        <f>L69*'[2]Lfill en &amp; composn'!$I$82/SUM('[2]Lfill en &amp; composn'!$I$82,'[2]Lfill en &amp; composn'!$I$84:$I$85,'[2]Lfill en &amp; composn'!$I$87:$I$88)*'[2]Lfill en &amp; composn'!$D$16</f>
        <v>106923.12963493068</v>
      </c>
      <c r="AS64" s="35">
        <f>AR64/SUM($AR$54:$AR$96)</f>
        <v>0.36299945989286053</v>
      </c>
      <c r="AT64" s="21">
        <f>AS64*'[2]Lfill en &amp; composn'!$I$63/'[2]Lfill en &amp; composn'!$B$16</f>
        <v>86977.507260861123</v>
      </c>
      <c r="AU64" s="25"/>
      <c r="AV64" s="21"/>
      <c r="AW64" s="22"/>
      <c r="AX64" s="82"/>
      <c r="AY64" s="20"/>
      <c r="AZ64" s="21"/>
      <c r="BA64" s="21"/>
      <c r="BB64" s="21"/>
      <c r="BC64" s="29"/>
      <c r="BD64" s="30"/>
      <c r="BR64" s="317"/>
      <c r="BS64" s="317"/>
      <c r="BT64" s="317"/>
      <c r="BU64" s="316" t="s">
        <v>108</v>
      </c>
      <c r="BV64" s="314"/>
      <c r="BW64" s="310" t="s">
        <v>107</v>
      </c>
      <c r="BX64" s="314"/>
      <c r="BY64" s="314"/>
      <c r="BZ64" s="314"/>
      <c r="CA64" s="314"/>
      <c r="CB64" s="314"/>
      <c r="CC64" s="317"/>
    </row>
    <row r="65" spans="1:84" ht="38.25">
      <c r="A65" s="699"/>
      <c r="B65" s="23"/>
      <c r="C65" s="17" t="s">
        <v>23</v>
      </c>
      <c r="D65" s="57"/>
      <c r="E65" s="2"/>
      <c r="F65" s="2"/>
      <c r="G65" s="63"/>
      <c r="H65" s="2"/>
      <c r="I65" s="20"/>
      <c r="J65" s="21"/>
      <c r="K65" s="21"/>
      <c r="L65" s="22"/>
      <c r="M65" s="2"/>
      <c r="N65" s="20"/>
      <c r="O65" s="21"/>
      <c r="P65" s="21"/>
      <c r="Q65" s="21"/>
      <c r="R65" s="34"/>
      <c r="T65" s="201"/>
      <c r="U65" s="2"/>
      <c r="V65" s="2"/>
      <c r="W65" s="199">
        <f>[2]WA!V73</f>
        <v>210965</v>
      </c>
      <c r="X65" s="198"/>
      <c r="Y65" s="198"/>
      <c r="Z65" s="198"/>
      <c r="AA65" s="274"/>
      <c r="AB65" s="21"/>
      <c r="AC65" s="21"/>
      <c r="AD65" s="21"/>
      <c r="AE65" s="21"/>
      <c r="AF65" s="70"/>
      <c r="AG65" s="20"/>
      <c r="AH65" s="21"/>
      <c r="AI65" s="21"/>
      <c r="AJ65" s="22">
        <f>W65</f>
        <v>210965</v>
      </c>
      <c r="AK65" s="29">
        <f>AJ65/[2]Popn!$I$42*1000</f>
        <v>92.634306901390886</v>
      </c>
      <c r="AL65" s="19"/>
      <c r="AM65" s="57"/>
      <c r="AN65" s="2"/>
      <c r="AO65" s="2"/>
      <c r="AP65" s="63"/>
      <c r="AQ65" s="68"/>
      <c r="AR65" s="21">
        <f>L69*'[2]Lfill en &amp; composn'!$I$84/SUM('[2]Lfill en &amp; composn'!$I$82,'[2]Lfill en &amp; composn'!$I$84:$I$85,'[2]Lfill en &amp; composn'!$I$87:$I$88)*'[2]Lfill en &amp; composn'!$D$18</f>
        <v>38211.115637519113</v>
      </c>
      <c r="AS65" s="35">
        <f>AR65/SUM($AR$54:$AR$96)</f>
        <v>0.12972510611765417</v>
      </c>
      <c r="AT65" s="21">
        <f>AS65*'[2]Lfill en &amp; composn'!$I$63/'[2]Lfill en &amp; composn'!$B$18</f>
        <v>23312.361874989721</v>
      </c>
      <c r="AU65" s="25"/>
      <c r="AV65" s="21"/>
      <c r="AW65" s="22"/>
      <c r="AX65" s="2"/>
      <c r="AY65" s="20"/>
      <c r="AZ65" s="21"/>
      <c r="BA65" s="21"/>
      <c r="BB65" s="21"/>
      <c r="BC65" s="29"/>
      <c r="BD65" s="36"/>
      <c r="BR65" s="317"/>
      <c r="BS65" s="317"/>
      <c r="BT65" s="317"/>
      <c r="BU65" s="317"/>
      <c r="BV65" s="318" t="s">
        <v>100</v>
      </c>
      <c r="BW65" s="311" t="s">
        <v>104</v>
      </c>
      <c r="BX65" s="318" t="s">
        <v>101</v>
      </c>
      <c r="BY65" s="319" t="s">
        <v>102</v>
      </c>
      <c r="BZ65" s="318" t="s">
        <v>103</v>
      </c>
      <c r="CA65" s="574" t="s">
        <v>192</v>
      </c>
      <c r="CB65" s="574" t="s">
        <v>258</v>
      </c>
      <c r="CC65" s="317"/>
    </row>
    <row r="66" spans="1:84">
      <c r="A66" s="699"/>
      <c r="B66" s="23"/>
      <c r="C66" s="17" t="s">
        <v>24</v>
      </c>
      <c r="D66" s="57"/>
      <c r="E66" s="2"/>
      <c r="F66" s="2"/>
      <c r="G66" s="63"/>
      <c r="H66" s="2"/>
      <c r="I66" s="20"/>
      <c r="J66" s="21"/>
      <c r="K66" s="21"/>
      <c r="L66" s="22"/>
      <c r="M66" s="2"/>
      <c r="N66" s="20"/>
      <c r="O66" s="21"/>
      <c r="P66" s="21"/>
      <c r="Q66" s="21"/>
      <c r="R66" s="34"/>
      <c r="T66" s="57"/>
      <c r="U66" s="2"/>
      <c r="V66" s="2"/>
      <c r="W66" s="199">
        <f>[2]WA!V74</f>
        <v>45553</v>
      </c>
      <c r="X66" s="198"/>
      <c r="Y66" s="198"/>
      <c r="Z66" s="198"/>
      <c r="AA66" s="274"/>
      <c r="AB66" s="21"/>
      <c r="AC66" s="21"/>
      <c r="AD66" s="21"/>
      <c r="AE66" s="21"/>
      <c r="AF66" s="70"/>
      <c r="AG66" s="20"/>
      <c r="AH66" s="21"/>
      <c r="AI66" s="21"/>
      <c r="AJ66" s="22">
        <f>W66</f>
        <v>45553</v>
      </c>
      <c r="AK66" s="29">
        <f>AJ66/[2]Popn!$I$42*1000</f>
        <v>20.002230617775741</v>
      </c>
      <c r="AL66" s="19"/>
      <c r="AM66" s="57"/>
      <c r="AN66" s="2"/>
      <c r="AO66" s="2"/>
      <c r="AP66" s="63"/>
      <c r="AQ66" s="70"/>
      <c r="AR66" s="21">
        <f>L69*'[2]Lfill en &amp; composn'!$I$85/SUM('[2]Lfill en &amp; composn'!$I$82,'[2]Lfill en &amp; composn'!$I$84:$I$85,'[2]Lfill en &amp; composn'!$I$87:$I$88)*'[2]Lfill en &amp; composn'!$D$19</f>
        <v>38196.113014375573</v>
      </c>
      <c r="AS66" s="35">
        <f>AR66/SUM($AR$54:$AR$96)</f>
        <v>0.12967417285263774</v>
      </c>
      <c r="AT66" s="21">
        <f>AS66*'[2]Lfill en &amp; composn'!$I$63/'[2]Lfill en &amp; composn'!$B$19</f>
        <v>10838.701799419345</v>
      </c>
      <c r="AU66" s="25"/>
      <c r="AV66" s="21"/>
      <c r="AW66" s="22"/>
      <c r="AX66" s="2"/>
      <c r="AY66" s="20"/>
      <c r="AZ66" s="21"/>
      <c r="BA66" s="21"/>
      <c r="BB66" s="21"/>
      <c r="BC66" s="29"/>
      <c r="BR66" s="317"/>
      <c r="BS66" s="317"/>
      <c r="BT66" s="317"/>
      <c r="BU66" s="320" t="s">
        <v>72</v>
      </c>
      <c r="BV66" s="330">
        <f>BK151</f>
        <v>3718.8426667260342</v>
      </c>
      <c r="BW66" s="312">
        <f>AVERAGE(BV66,BX66)</f>
        <v>3776.9769852392365</v>
      </c>
      <c r="BX66" s="331">
        <f>BK104</f>
        <v>3835.1113037524383</v>
      </c>
      <c r="BY66" s="331">
        <f>BK57</f>
        <v>4931.8229091918247</v>
      </c>
      <c r="BZ66" s="331">
        <f>BK10</f>
        <v>3661.9019421374942</v>
      </c>
      <c r="CA66" s="553">
        <f>(BZ66-BV66)/BV66</f>
        <v>-1.53114099442849E-2</v>
      </c>
      <c r="CB66" s="594">
        <f>(BZ66/BV66)^(1/4)-1</f>
        <v>-3.8500295645315097E-3</v>
      </c>
      <c r="CC66" s="317"/>
    </row>
    <row r="67" spans="1:84">
      <c r="A67" s="699"/>
      <c r="B67" s="23"/>
      <c r="C67" s="17" t="s">
        <v>25</v>
      </c>
      <c r="D67" s="57"/>
      <c r="E67" s="2"/>
      <c r="F67" s="2"/>
      <c r="G67" s="63"/>
      <c r="H67" s="2"/>
      <c r="I67" s="20"/>
      <c r="J67" s="21"/>
      <c r="K67" s="21"/>
      <c r="L67" s="22"/>
      <c r="M67" s="2"/>
      <c r="N67" s="20"/>
      <c r="O67" s="21"/>
      <c r="P67" s="21"/>
      <c r="Q67" s="21"/>
      <c r="R67" s="34"/>
      <c r="T67" s="57"/>
      <c r="U67" s="2"/>
      <c r="V67" s="2"/>
      <c r="W67" s="199">
        <f>[2]WA!V75</f>
        <v>195571</v>
      </c>
      <c r="X67" s="198"/>
      <c r="Y67" s="198"/>
      <c r="Z67" s="198"/>
      <c r="AA67" s="274"/>
      <c r="AB67" s="21"/>
      <c r="AC67" s="21"/>
      <c r="AD67" s="21"/>
      <c r="AE67" s="21"/>
      <c r="AF67" s="70"/>
      <c r="AG67" s="20"/>
      <c r="AH67" s="21"/>
      <c r="AI67" s="21"/>
      <c r="AJ67" s="22">
        <f>W67</f>
        <v>195571</v>
      </c>
      <c r="AK67" s="29">
        <f>AJ67/[2]Popn!$I$42*1000</f>
        <v>85.874832484117832</v>
      </c>
      <c r="AL67" s="19"/>
      <c r="AM67" s="57"/>
      <c r="AN67" s="2"/>
      <c r="AO67" s="2"/>
      <c r="AP67" s="63"/>
      <c r="AQ67" s="68"/>
      <c r="AR67" s="21">
        <f>L69*'[2]Lfill en &amp; composn'!$I$93/SUM('[2]Lfill en &amp; composn'!$I$82,'[2]Lfill en &amp; composn'!$I$84:$I$85,'[2]Lfill en &amp; composn'!$I$87:$I$88)*'[2]Lfill en &amp; composn'!$D$24</f>
        <v>8303.0038506152905</v>
      </c>
      <c r="AS67" s="35">
        <f>AR67/SUM($AR$54:$AR$96)</f>
        <v>2.8188343565628795E-2</v>
      </c>
      <c r="AT67" s="21">
        <f>AS67*'[2]Lfill en &amp; composn'!$I$63/'[2]Lfill en &amp; composn'!$B$24</f>
        <v>4221.3421231307784</v>
      </c>
      <c r="AU67" s="25"/>
      <c r="AV67" s="21"/>
      <c r="AW67" s="22"/>
      <c r="AX67" s="83"/>
      <c r="AY67" s="20"/>
      <c r="AZ67" s="21"/>
      <c r="BA67" s="21"/>
      <c r="BB67" s="21"/>
      <c r="BC67" s="29"/>
      <c r="BR67" s="317"/>
      <c r="BS67" s="317"/>
      <c r="BT67" s="317"/>
      <c r="BU67" s="323" t="s">
        <v>68</v>
      </c>
      <c r="BV67" s="332">
        <f>BK152</f>
        <v>1492.473</v>
      </c>
      <c r="BW67" s="313">
        <f>AVERAGE(BV67,BX67)</f>
        <v>1523.248</v>
      </c>
      <c r="BX67" s="333">
        <f>BK105</f>
        <v>1554.0229999999999</v>
      </c>
      <c r="BY67" s="333">
        <f>BK58</f>
        <v>1904.4929999999999</v>
      </c>
      <c r="BZ67" s="333">
        <f>BK11</f>
        <v>2136.1732386302006</v>
      </c>
      <c r="CA67" s="328">
        <f t="shared" ref="CA67:CA69" si="12">(BZ67-BV67)/BV67</f>
        <v>0.431297744502045</v>
      </c>
      <c r="CB67" s="593">
        <f t="shared" ref="CB67:CB69" si="13">(BZ67/BV67)^(1/4)-1</f>
        <v>9.3786343621983237E-2</v>
      </c>
      <c r="CC67" s="317"/>
    </row>
    <row r="68" spans="1:84">
      <c r="A68" s="699"/>
      <c r="B68" s="23"/>
      <c r="C68" s="17" t="s">
        <v>0</v>
      </c>
      <c r="D68" s="57"/>
      <c r="E68" s="2"/>
      <c r="F68" s="2"/>
      <c r="G68" s="199"/>
      <c r="H68" s="198">
        <f>[2]Biosolids!$I$195</f>
        <v>3142.3298764072442</v>
      </c>
      <c r="I68" s="112"/>
      <c r="J68" s="21"/>
      <c r="K68" s="21"/>
      <c r="L68" s="22"/>
      <c r="M68" s="68" t="s">
        <v>193</v>
      </c>
      <c r="N68" s="23"/>
      <c r="O68" s="19"/>
      <c r="P68" s="19"/>
      <c r="Q68" s="19"/>
      <c r="R68" s="34"/>
      <c r="T68" s="57"/>
      <c r="U68" s="2"/>
      <c r="V68" s="2"/>
      <c r="W68" s="199"/>
      <c r="X68" s="198"/>
      <c r="Y68" s="198"/>
      <c r="Z68" s="198"/>
      <c r="AA68" s="278">
        <f>[2]Biosolids!$I$194</f>
        <v>26121</v>
      </c>
      <c r="AB68" s="21"/>
      <c r="AC68" s="21"/>
      <c r="AD68" s="21"/>
      <c r="AE68" s="21"/>
      <c r="AF68" s="355" t="s">
        <v>196</v>
      </c>
      <c r="AG68" s="20"/>
      <c r="AH68" s="21"/>
      <c r="AI68" s="21"/>
      <c r="AJ68" s="22">
        <f>AA68</f>
        <v>26121</v>
      </c>
      <c r="AK68" s="29">
        <f>AJ68/[2]Popn!$I$42*1000</f>
        <v>11.469678527581502</v>
      </c>
      <c r="AL68" s="19"/>
      <c r="AM68" s="57"/>
      <c r="AN68" s="2"/>
      <c r="AO68" s="2"/>
      <c r="AP68" s="63"/>
      <c r="AQ68" s="68"/>
      <c r="AR68" s="21">
        <f>L69*'[2]Lfill en &amp; composn'!$I$87/SUM('[2]Lfill en &amp; composn'!$I$82,'[2]Lfill en &amp; composn'!$I$84:$I$85,'[2]Lfill en &amp; composn'!$I$87:$I$88)*'[2]Lfill en &amp; composn'!$D$21</f>
        <v>424.13180727301665</v>
      </c>
      <c r="AS68" s="35">
        <f>AR68/SUM($AR$54:$AR$96)</f>
        <v>1.4399093768500287E-3</v>
      </c>
      <c r="AT68" s="21">
        <f>AS68*'[2]Lfill en &amp; composn'!$I$63/'[2]Lfill en &amp; composn'!$B$21</f>
        <v>1035.0406167291812</v>
      </c>
      <c r="AU68" s="25"/>
      <c r="AV68" s="21"/>
      <c r="AW68" s="22"/>
      <c r="AX68" s="2"/>
      <c r="AY68" s="23"/>
      <c r="AZ68" s="19"/>
      <c r="BA68" s="19"/>
      <c r="BB68" s="21"/>
      <c r="BC68" s="24"/>
      <c r="BR68" s="317"/>
      <c r="BS68" s="317"/>
      <c r="BT68" s="314"/>
      <c r="BU68" s="323" t="s">
        <v>69</v>
      </c>
      <c r="BV68" s="332">
        <f>BK153</f>
        <v>198.34340347066686</v>
      </c>
      <c r="BW68" s="313">
        <f>AVERAGE(BV68,BX68)</f>
        <v>203.0778860587846</v>
      </c>
      <c r="BX68" s="333">
        <f>BK106</f>
        <v>207.81236864690237</v>
      </c>
      <c r="BY68" s="333">
        <f>BK59</f>
        <v>158.76531421399099</v>
      </c>
      <c r="BZ68" s="333">
        <f>BK12</f>
        <v>158.76531421399099</v>
      </c>
      <c r="CA68" s="328">
        <f t="shared" si="12"/>
        <v>-0.19954325964023853</v>
      </c>
      <c r="CB68" s="593">
        <f t="shared" si="13"/>
        <v>-5.412343289916266E-2</v>
      </c>
      <c r="CC68" s="317"/>
    </row>
    <row r="69" spans="1:84" s="106" customFormat="1">
      <c r="A69" s="699"/>
      <c r="B69" s="107" t="s">
        <v>67</v>
      </c>
      <c r="C69" s="108"/>
      <c r="D69" s="109"/>
      <c r="E69" s="110"/>
      <c r="F69" s="110"/>
      <c r="G69" s="111"/>
      <c r="H69" s="110"/>
      <c r="I69" s="112">
        <f>D97*[2]WA!$F$382</f>
        <v>876015.67247893801</v>
      </c>
      <c r="J69" s="113">
        <f>E97*[2]WA!J$349</f>
        <v>755225.8803734245</v>
      </c>
      <c r="K69" s="113">
        <f>F97*[2]WA!K$349</f>
        <v>96222.349240794472</v>
      </c>
      <c r="L69" s="114">
        <f>SUM(I69:K69)</f>
        <v>1727463.9020931569</v>
      </c>
      <c r="M69" s="110"/>
      <c r="N69" s="112">
        <f>I69-AU69</f>
        <v>811924.49230968195</v>
      </c>
      <c r="O69" s="113">
        <f>J69-AV69</f>
        <v>699971.93973269709</v>
      </c>
      <c r="P69" s="113">
        <f>K69-AW69</f>
        <v>89182.516375647756</v>
      </c>
      <c r="Q69" s="114">
        <f>SUM(N69:P69)</f>
        <v>1601078.9484180268</v>
      </c>
      <c r="R69" s="115">
        <f>Q69/[2]Popn!$I$42*1000</f>
        <v>703.03054383955475</v>
      </c>
      <c r="T69" s="109"/>
      <c r="U69" s="110"/>
      <c r="V69" s="2"/>
      <c r="W69" s="203"/>
      <c r="X69" s="130"/>
      <c r="Y69" s="130"/>
      <c r="Z69" s="130"/>
      <c r="AA69" s="276"/>
      <c r="AB69" s="113"/>
      <c r="AC69" s="113"/>
      <c r="AD69" s="113"/>
      <c r="AE69" s="113"/>
      <c r="AF69" s="117"/>
      <c r="AG69" s="112"/>
      <c r="AH69" s="113"/>
      <c r="AI69" s="113"/>
      <c r="AJ69" s="114">
        <f>SUM(AJ64:AJ68)</f>
        <v>485663</v>
      </c>
      <c r="AK69" s="118">
        <f>SUM(AK64:AK68)</f>
        <v>213.25364583058897</v>
      </c>
      <c r="AL69" s="119"/>
      <c r="AM69" s="109"/>
      <c r="AN69" s="110"/>
      <c r="AO69" s="110"/>
      <c r="AP69" s="111"/>
      <c r="AQ69" s="116"/>
      <c r="AR69" s="113"/>
      <c r="AS69" s="113"/>
      <c r="AT69" s="113">
        <f>SUM(AT64:AT68)</f>
        <v>126384.95367513013</v>
      </c>
      <c r="AU69" s="120">
        <f>$AT69*I69/SUM($I69:$K69)</f>
        <v>64091.180169256011</v>
      </c>
      <c r="AV69" s="113">
        <f>$AT69*J69/SUM($I69:$K69)</f>
        <v>55253.9406407274</v>
      </c>
      <c r="AW69" s="114">
        <f>$AT69*K69/SUM($I69:$K69)</f>
        <v>7039.8328651467209</v>
      </c>
      <c r="AX69" s="110"/>
      <c r="AY69" s="241">
        <f>AU69</f>
        <v>64091.180169256011</v>
      </c>
      <c r="AZ69" s="242">
        <f>AV69</f>
        <v>55253.9406407274</v>
      </c>
      <c r="BA69" s="242">
        <f>AW69</f>
        <v>7039.8328651467209</v>
      </c>
      <c r="BB69" s="243">
        <f>AT69+AP69</f>
        <v>126384.95367513013</v>
      </c>
      <c r="BC69" s="118">
        <f>BB69/[2]Popn!$I$42*1000</f>
        <v>55.495378790131419</v>
      </c>
      <c r="BD69" s="122"/>
      <c r="BG69" s="146"/>
      <c r="BH69" s="138" t="s">
        <v>72</v>
      </c>
      <c r="BI69" s="138" t="s">
        <v>68</v>
      </c>
      <c r="BJ69" s="138" t="s">
        <v>69</v>
      </c>
      <c r="BK69" s="138" t="s">
        <v>73</v>
      </c>
      <c r="BL69" s="138" t="s">
        <v>78</v>
      </c>
      <c r="BM69" s="6"/>
      <c r="BN69" s="6"/>
      <c r="BO69" s="6"/>
      <c r="BR69" s="314"/>
      <c r="BS69" s="314"/>
      <c r="BT69" s="314"/>
      <c r="BU69" s="576" t="s">
        <v>191</v>
      </c>
      <c r="BV69" s="577">
        <f>SUM(BV66:BV68)</f>
        <v>5409.6590701967007</v>
      </c>
      <c r="BW69" s="578">
        <f t="shared" ref="BW69:BZ69" si="14">SUM(BW66:BW68)</f>
        <v>5503.3028712980204</v>
      </c>
      <c r="BX69" s="579">
        <f t="shared" si="14"/>
        <v>5596.946672399341</v>
      </c>
      <c r="BY69" s="579">
        <f t="shared" si="14"/>
        <v>6995.0812234058149</v>
      </c>
      <c r="BZ69" s="579">
        <f t="shared" si="14"/>
        <v>5956.8404949816859</v>
      </c>
      <c r="CA69" s="580">
        <f t="shared" si="12"/>
        <v>0.1011489666325847</v>
      </c>
      <c r="CB69" s="652">
        <f t="shared" si="13"/>
        <v>2.4381009957806121E-2</v>
      </c>
      <c r="CC69" s="314"/>
      <c r="CD69" s="6"/>
      <c r="CE69" s="6"/>
      <c r="CF69" s="6"/>
    </row>
    <row r="70" spans="1:84">
      <c r="A70" s="699"/>
      <c r="B70" s="23" t="s">
        <v>5</v>
      </c>
      <c r="C70" s="17" t="s">
        <v>26</v>
      </c>
      <c r="D70" s="57"/>
      <c r="E70" s="2"/>
      <c r="F70" s="2"/>
      <c r="G70" s="63"/>
      <c r="H70" s="2"/>
      <c r="I70" s="20"/>
      <c r="J70" s="21"/>
      <c r="K70" s="21"/>
      <c r="L70" s="22"/>
      <c r="M70" s="2"/>
      <c r="N70" s="23"/>
      <c r="O70" s="19"/>
      <c r="P70" s="19"/>
      <c r="Q70" s="19"/>
      <c r="R70" s="33"/>
      <c r="T70" s="57"/>
      <c r="U70" s="2"/>
      <c r="V70" s="2"/>
      <c r="W70" s="199">
        <f>[2]WA!V78</f>
        <v>304286</v>
      </c>
      <c r="X70" s="198"/>
      <c r="Y70" s="198"/>
      <c r="Z70" s="198"/>
      <c r="AA70" s="274"/>
      <c r="AB70" s="21"/>
      <c r="AC70" s="21"/>
      <c r="AD70" s="21"/>
      <c r="AE70" s="21"/>
      <c r="AF70" s="70"/>
      <c r="AG70" s="20"/>
      <c r="AH70" s="21"/>
      <c r="AI70" s="21"/>
      <c r="AJ70" s="22">
        <f>W70</f>
        <v>304286</v>
      </c>
      <c r="AK70" s="29">
        <f>AJ70/[2]Popn!$I$42*1000</f>
        <v>133.61137017892366</v>
      </c>
      <c r="AL70" s="19"/>
      <c r="AM70" s="57"/>
      <c r="AN70" s="2"/>
      <c r="AO70" s="2"/>
      <c r="AP70" s="63"/>
      <c r="AQ70" s="68"/>
      <c r="AR70" s="21"/>
      <c r="AS70" s="21"/>
      <c r="AT70" s="21"/>
      <c r="AU70" s="240"/>
      <c r="AV70" s="19"/>
      <c r="AW70" s="195"/>
      <c r="AX70" s="2"/>
      <c r="AY70" s="238"/>
      <c r="BB70" s="19"/>
      <c r="BC70" s="24"/>
      <c r="BG70" s="147" t="s">
        <v>3</v>
      </c>
      <c r="BH70" s="52">
        <f>Q59/1000</f>
        <v>2275.1339182295214</v>
      </c>
      <c r="BI70" s="52">
        <f>AJ59/1000</f>
        <v>436.298</v>
      </c>
      <c r="BJ70" s="52">
        <f>BB59/1000</f>
        <v>0</v>
      </c>
      <c r="BK70" s="137">
        <f>SUM(BI70:BJ70)/BL70</f>
        <v>0.16091054953903791</v>
      </c>
      <c r="BL70" s="52">
        <f>SUM(BH70:BJ70)</f>
        <v>2711.4319182295212</v>
      </c>
      <c r="BR70" s="317"/>
      <c r="BS70" s="317"/>
      <c r="BT70" s="317"/>
      <c r="BU70" s="314"/>
      <c r="BV70" s="314"/>
      <c r="BW70" s="314"/>
      <c r="BX70" s="314"/>
      <c r="BY70" s="314"/>
      <c r="BZ70" s="314"/>
      <c r="CA70" s="314"/>
      <c r="CB70" s="653"/>
      <c r="CC70" s="317"/>
    </row>
    <row r="71" spans="1:84">
      <c r="A71" s="699"/>
      <c r="B71" s="23"/>
      <c r="C71" s="17" t="s">
        <v>27</v>
      </c>
      <c r="D71" s="57"/>
      <c r="E71" s="2"/>
      <c r="F71" s="2"/>
      <c r="G71" s="63"/>
      <c r="H71" s="2"/>
      <c r="I71" s="20"/>
      <c r="J71" s="21"/>
      <c r="K71" s="21"/>
      <c r="L71" s="22"/>
      <c r="M71" s="2"/>
      <c r="N71" s="23"/>
      <c r="O71" s="19"/>
      <c r="P71" s="19"/>
      <c r="Q71" s="19"/>
      <c r="R71" s="33"/>
      <c r="T71" s="57"/>
      <c r="U71" s="2"/>
      <c r="V71" s="2"/>
      <c r="W71" s="199">
        <f>[2]WA!V79</f>
        <v>750</v>
      </c>
      <c r="X71" s="198"/>
      <c r="Y71" s="198"/>
      <c r="Z71" s="198"/>
      <c r="AA71" s="274"/>
      <c r="AB71" s="21"/>
      <c r="AC71" s="21"/>
      <c r="AD71" s="21"/>
      <c r="AE71" s="21"/>
      <c r="AF71" s="70"/>
      <c r="AG71" s="20"/>
      <c r="AH71" s="21"/>
      <c r="AI71" s="21"/>
      <c r="AJ71" s="22">
        <f>W71</f>
        <v>750</v>
      </c>
      <c r="AK71" s="29">
        <f>AJ71/[2]Popn!$I$42*1000</f>
        <v>0.32932349051284887</v>
      </c>
      <c r="AL71" s="19"/>
      <c r="AM71" s="57"/>
      <c r="AN71" s="2"/>
      <c r="AO71" s="2"/>
      <c r="AP71" s="63"/>
      <c r="AQ71" s="68"/>
      <c r="AR71" s="21"/>
      <c r="AS71" s="21"/>
      <c r="AT71" s="21"/>
      <c r="AU71" s="240"/>
      <c r="AV71" s="19"/>
      <c r="AW71" s="195"/>
      <c r="AX71" s="2"/>
      <c r="AY71" s="238"/>
      <c r="BB71" s="19"/>
      <c r="BC71" s="24"/>
      <c r="BG71" s="147" t="s">
        <v>4</v>
      </c>
      <c r="BH71" s="52">
        <f>Q63/1000</f>
        <v>128.50900404629587</v>
      </c>
      <c r="BI71" s="52">
        <f>AJ63/1000</f>
        <v>450.29300000000001</v>
      </c>
      <c r="BJ71" s="52">
        <f>BB63/1000</f>
        <v>0</v>
      </c>
      <c r="BK71" s="137">
        <f t="shared" ref="BK71:BK78" si="15">SUM(BI71:BJ71)/BL71</f>
        <v>0.77797415498233657</v>
      </c>
      <c r="BL71" s="52">
        <f t="shared" ref="BL71:BL78" si="16">SUM(BH71:BJ71)</f>
        <v>578.80200404629591</v>
      </c>
      <c r="BR71" s="317"/>
      <c r="BS71" s="317"/>
      <c r="BT71" s="317"/>
      <c r="BU71" s="317"/>
      <c r="BV71" s="317"/>
      <c r="BW71" s="317"/>
      <c r="BX71" s="317"/>
      <c r="BY71" s="317"/>
      <c r="BZ71" s="317"/>
      <c r="CA71" s="317"/>
      <c r="CB71" s="317"/>
      <c r="CC71" s="317"/>
    </row>
    <row r="72" spans="1:84">
      <c r="A72" s="699"/>
      <c r="B72" s="23"/>
      <c r="C72" s="17" t="s">
        <v>28</v>
      </c>
      <c r="D72" s="57"/>
      <c r="E72" s="2"/>
      <c r="F72" s="2"/>
      <c r="G72" s="63"/>
      <c r="H72" s="2"/>
      <c r="I72" s="20"/>
      <c r="J72" s="21"/>
      <c r="K72" s="21"/>
      <c r="L72" s="22"/>
      <c r="M72" s="2"/>
      <c r="N72" s="23"/>
      <c r="O72" s="19"/>
      <c r="P72" s="19"/>
      <c r="Q72" s="19"/>
      <c r="R72" s="33"/>
      <c r="T72" s="57"/>
      <c r="U72" s="2"/>
      <c r="V72" s="2"/>
      <c r="W72" s="199">
        <f>[2]WA!V80</f>
        <v>66349</v>
      </c>
      <c r="X72" s="198"/>
      <c r="Y72" s="198"/>
      <c r="Z72" s="198"/>
      <c r="AA72" s="274"/>
      <c r="AB72" s="21"/>
      <c r="AC72" s="21"/>
      <c r="AD72" s="21"/>
      <c r="AE72" s="21"/>
      <c r="AF72" s="70"/>
      <c r="AG72" s="20"/>
      <c r="AH72" s="21"/>
      <c r="AI72" s="21"/>
      <c r="AJ72" s="22">
        <f>W72</f>
        <v>66349</v>
      </c>
      <c r="AK72" s="29">
        <f>AJ72/[2]Popn!$I$42*1000</f>
        <v>29.133712362716011</v>
      </c>
      <c r="AL72" s="19"/>
      <c r="AM72" s="57"/>
      <c r="AN72" s="2"/>
      <c r="AO72" s="2"/>
      <c r="AP72" s="63"/>
      <c r="AQ72" s="68"/>
      <c r="AR72" s="21"/>
      <c r="AS72" s="21"/>
      <c r="AT72" s="21"/>
      <c r="AU72" s="240"/>
      <c r="AV72" s="19"/>
      <c r="AW72" s="195"/>
      <c r="AX72" s="2"/>
      <c r="AY72" s="238"/>
      <c r="BB72" s="19"/>
      <c r="BC72" s="24"/>
      <c r="BG72" s="147" t="s">
        <v>2</v>
      </c>
      <c r="BH72" s="52">
        <f>Q69/1000</f>
        <v>1601.0789484180268</v>
      </c>
      <c r="BI72" s="52">
        <f>AJ69/1000</f>
        <v>485.66300000000001</v>
      </c>
      <c r="BJ72" s="52">
        <f>BB69/1000</f>
        <v>126.38495367513013</v>
      </c>
      <c r="BK72" s="137">
        <f t="shared" si="15"/>
        <v>0.27655348326219359</v>
      </c>
      <c r="BL72" s="52">
        <f t="shared" si="16"/>
        <v>2213.1269020931568</v>
      </c>
      <c r="BR72" s="317"/>
      <c r="BS72" s="317"/>
      <c r="BT72" s="317"/>
      <c r="BU72" s="317"/>
      <c r="BV72" s="317"/>
      <c r="BW72" s="317"/>
      <c r="BX72" s="317"/>
      <c r="BY72" s="317"/>
      <c r="BZ72" s="317"/>
      <c r="CA72" s="317"/>
      <c r="CB72" s="317"/>
      <c r="CC72" s="317"/>
    </row>
    <row r="73" spans="1:84">
      <c r="A73" s="699"/>
      <c r="B73" s="23"/>
      <c r="C73" s="17" t="s">
        <v>29</v>
      </c>
      <c r="D73" s="57"/>
      <c r="E73" s="2"/>
      <c r="F73" s="2"/>
      <c r="G73" s="63"/>
      <c r="H73" s="2"/>
      <c r="I73" s="20"/>
      <c r="J73" s="21"/>
      <c r="K73" s="21"/>
      <c r="L73" s="22"/>
      <c r="M73" s="2"/>
      <c r="N73" s="23"/>
      <c r="O73" s="19"/>
      <c r="P73" s="19"/>
      <c r="Q73" s="19"/>
      <c r="R73" s="33"/>
      <c r="T73" s="57"/>
      <c r="U73" s="2"/>
      <c r="V73" s="2"/>
      <c r="W73" s="199">
        <f>[2]WA!V81</f>
        <v>82473</v>
      </c>
      <c r="X73" s="198"/>
      <c r="Y73" s="198"/>
      <c r="Z73" s="198"/>
      <c r="AA73" s="274"/>
      <c r="AB73" s="21"/>
      <c r="AC73" s="21"/>
      <c r="AD73" s="21"/>
      <c r="AE73" s="21"/>
      <c r="AF73" s="70"/>
      <c r="AG73" s="20"/>
      <c r="AH73" s="21"/>
      <c r="AI73" s="21"/>
      <c r="AJ73" s="22">
        <f>W73</f>
        <v>82473</v>
      </c>
      <c r="AK73" s="29">
        <f>AJ73/[2]Popn!$I$42*1000</f>
        <v>36.213728310754917</v>
      </c>
      <c r="AL73" s="19"/>
      <c r="AM73" s="57"/>
      <c r="AN73" s="2"/>
      <c r="AO73" s="2"/>
      <c r="AP73" s="63"/>
      <c r="AQ73" s="68"/>
      <c r="AR73" s="21"/>
      <c r="AS73" s="21"/>
      <c r="AT73" s="21"/>
      <c r="AU73" s="240"/>
      <c r="AV73" s="19"/>
      <c r="AW73" s="195"/>
      <c r="AX73" s="2"/>
      <c r="AY73" s="238"/>
      <c r="BB73" s="19"/>
      <c r="BC73" s="24"/>
      <c r="BG73" s="147" t="s">
        <v>5</v>
      </c>
      <c r="BH73" s="52">
        <f>Q74/1000</f>
        <v>426.75942975524117</v>
      </c>
      <c r="BI73" s="52">
        <f>AJ74/1000</f>
        <v>453.858</v>
      </c>
      <c r="BJ73" s="52">
        <f>BB74/1000</f>
        <v>27.138167431097795</v>
      </c>
      <c r="BK73" s="137">
        <f t="shared" si="15"/>
        <v>0.52987408606676056</v>
      </c>
      <c r="BL73" s="52">
        <f t="shared" si="16"/>
        <v>907.75559718633895</v>
      </c>
      <c r="BR73" s="317"/>
      <c r="BS73" s="317"/>
      <c r="BT73" s="317"/>
      <c r="BU73" s="317"/>
      <c r="BV73" s="317"/>
      <c r="BW73" s="317"/>
      <c r="BX73" s="317"/>
      <c r="BY73" s="317"/>
      <c r="BZ73" s="317"/>
      <c r="CA73" s="317"/>
      <c r="CB73" s="317"/>
      <c r="CC73" s="317"/>
    </row>
    <row r="74" spans="1:84" s="106" customFormat="1">
      <c r="A74" s="699"/>
      <c r="B74" s="107" t="s">
        <v>67</v>
      </c>
      <c r="C74" s="108"/>
      <c r="D74" s="109"/>
      <c r="E74" s="110"/>
      <c r="F74" s="110"/>
      <c r="G74" s="111"/>
      <c r="H74" s="110"/>
      <c r="I74" s="112">
        <f>D97*[2]WA!$F$383</f>
        <v>152150.09048318397</v>
      </c>
      <c r="J74" s="113">
        <f>E97*[2]WA!J$350</f>
        <v>290842.30712253164</v>
      </c>
      <c r="K74" s="113">
        <f>F97*[2]WA!K$350</f>
        <v>10905.199580623374</v>
      </c>
      <c r="L74" s="114">
        <f>SUM(I74:K74)</f>
        <v>453897.59718633897</v>
      </c>
      <c r="M74" s="110"/>
      <c r="N74" s="112">
        <f>I74-AU74</f>
        <v>143053.16056818771</v>
      </c>
      <c r="O74" s="113">
        <f>J74-AV74</f>
        <v>273453.08260214329</v>
      </c>
      <c r="P74" s="113">
        <f>K74-AW74</f>
        <v>10253.18658491016</v>
      </c>
      <c r="Q74" s="114">
        <f>SUM(N74:P74)</f>
        <v>426759.42975524114</v>
      </c>
      <c r="R74" s="115">
        <f>Q74/[2]Popn!$I$42*1000</f>
        <v>187.38920668835863</v>
      </c>
      <c r="T74" s="109"/>
      <c r="U74" s="110"/>
      <c r="V74" s="2"/>
      <c r="W74" s="203"/>
      <c r="X74" s="130"/>
      <c r="Y74" s="130"/>
      <c r="Z74" s="130"/>
      <c r="AA74" s="276"/>
      <c r="AB74" s="113"/>
      <c r="AC74" s="113"/>
      <c r="AD74" s="113"/>
      <c r="AE74" s="113"/>
      <c r="AF74" s="117"/>
      <c r="AG74" s="112"/>
      <c r="AH74" s="113"/>
      <c r="AI74" s="113"/>
      <c r="AJ74" s="114">
        <f>SUM(AJ70:AJ73)</f>
        <v>453858</v>
      </c>
      <c r="AK74" s="118">
        <f>SUM(AK70:AK73)</f>
        <v>199.28813434290743</v>
      </c>
      <c r="AL74" s="119"/>
      <c r="AM74" s="109"/>
      <c r="AN74" s="110"/>
      <c r="AO74" s="110"/>
      <c r="AP74" s="111"/>
      <c r="AQ74" s="117"/>
      <c r="AR74" s="113">
        <f>L74*'[2]Lfill en &amp; composn'!$D$17</f>
        <v>88963.929048522448</v>
      </c>
      <c r="AS74" s="123">
        <f>AR74/SUM($AR$54:$AR$96)</f>
        <v>0.30202874069269992</v>
      </c>
      <c r="AT74" s="113">
        <f>AS74*'[2]Lfill en &amp; composn'!$I$63/'[2]Lfill en &amp; composn'!$B$17</f>
        <v>27138.167431097794</v>
      </c>
      <c r="AU74" s="120">
        <f>$AT74*I74/SUM($I74:$K74)</f>
        <v>9096.9299149962517</v>
      </c>
      <c r="AV74" s="113">
        <f>$AT74*J74/SUM($I74:$K74)</f>
        <v>17389.224520388329</v>
      </c>
      <c r="AW74" s="114">
        <f>$AT74*K74/SUM($I74:$K74)</f>
        <v>652.01299571321397</v>
      </c>
      <c r="AX74" s="110"/>
      <c r="AY74" s="241">
        <f>AU74</f>
        <v>9096.9299149962517</v>
      </c>
      <c r="AZ74" s="242">
        <f>AV74</f>
        <v>17389.224520388329</v>
      </c>
      <c r="BA74" s="242">
        <f>AW74</f>
        <v>652.01299571321397</v>
      </c>
      <c r="BB74" s="114">
        <f>AT74+AP74</f>
        <v>27138.167431097794</v>
      </c>
      <c r="BC74" s="118">
        <f>BB74/[2]Popn!$I$42*1000</f>
        <v>11.916314699374986</v>
      </c>
      <c r="BD74" s="122"/>
      <c r="BG74" s="147" t="s">
        <v>6</v>
      </c>
      <c r="BH74" s="52">
        <f>Q84/1000</f>
        <v>298.86022152046388</v>
      </c>
      <c r="BI74" s="52">
        <f>AJ84/1000</f>
        <v>13.938000000000001</v>
      </c>
      <c r="BJ74" s="52">
        <f>BB84/1000</f>
        <v>0</v>
      </c>
      <c r="BK74" s="137">
        <f t="shared" si="15"/>
        <v>4.4559076877897626E-2</v>
      </c>
      <c r="BL74" s="52">
        <f t="shared" si="16"/>
        <v>312.79822152046387</v>
      </c>
      <c r="BM74" s="6"/>
      <c r="BN74" s="6"/>
      <c r="BO74" s="6"/>
      <c r="BR74" s="314"/>
      <c r="BS74" s="314"/>
      <c r="BT74" s="317"/>
      <c r="BU74" s="317"/>
      <c r="BV74" s="317"/>
      <c r="BW74" s="317"/>
      <c r="BX74" s="317"/>
      <c r="BY74" s="317"/>
      <c r="BZ74" s="317"/>
      <c r="CA74" s="317"/>
      <c r="CB74" s="317"/>
      <c r="CC74" s="314"/>
      <c r="CD74" s="6"/>
      <c r="CE74" s="6"/>
      <c r="CF74" s="6"/>
    </row>
    <row r="75" spans="1:84">
      <c r="A75" s="699"/>
      <c r="B75" s="23" t="s">
        <v>6</v>
      </c>
      <c r="C75" s="17" t="s">
        <v>30</v>
      </c>
      <c r="D75" s="57"/>
      <c r="E75" s="2"/>
      <c r="F75" s="2"/>
      <c r="G75" s="63"/>
      <c r="H75" s="2"/>
      <c r="I75" s="20"/>
      <c r="J75" s="21"/>
      <c r="K75" s="21"/>
      <c r="L75" s="22"/>
      <c r="M75" s="2"/>
      <c r="N75" s="23"/>
      <c r="O75" s="19"/>
      <c r="P75" s="19"/>
      <c r="Q75" s="19"/>
      <c r="R75" s="33"/>
      <c r="T75" s="57"/>
      <c r="U75" s="2"/>
      <c r="V75" s="2"/>
      <c r="W75" s="199">
        <f>[2]WA!V83</f>
        <v>2842</v>
      </c>
      <c r="X75" s="198"/>
      <c r="Y75" s="198"/>
      <c r="Z75" s="198"/>
      <c r="AA75" s="274"/>
      <c r="AB75" s="21"/>
      <c r="AC75" s="21"/>
      <c r="AD75" s="21"/>
      <c r="AE75" s="21"/>
      <c r="AF75" s="70"/>
      <c r="AG75" s="20"/>
      <c r="AH75" s="21"/>
      <c r="AI75" s="21"/>
      <c r="AJ75" s="22">
        <f>W75</f>
        <v>2842</v>
      </c>
      <c r="AK75" s="29"/>
      <c r="AL75" s="19"/>
      <c r="AM75" s="57"/>
      <c r="AN75" s="2"/>
      <c r="AO75" s="2"/>
      <c r="AP75" s="63"/>
      <c r="AQ75" s="68"/>
      <c r="AR75" s="21"/>
      <c r="AS75" s="21"/>
      <c r="AT75" s="21"/>
      <c r="AU75" s="240"/>
      <c r="AV75" s="19"/>
      <c r="AW75" s="195"/>
      <c r="AX75" s="2"/>
      <c r="AY75" s="238"/>
      <c r="BB75" s="19"/>
      <c r="BC75" s="24"/>
      <c r="BG75" s="147" t="s">
        <v>8</v>
      </c>
      <c r="BH75" s="52">
        <f>Q85/1000</f>
        <v>109.56377645958452</v>
      </c>
      <c r="BI75" s="52">
        <f>AJ85/1000</f>
        <v>27.744</v>
      </c>
      <c r="BJ75" s="52">
        <f>BB85/1000</f>
        <v>0</v>
      </c>
      <c r="BK75" s="137">
        <f t="shared" si="15"/>
        <v>0.20205701902227097</v>
      </c>
      <c r="BL75" s="52">
        <f t="shared" si="16"/>
        <v>137.30777645958452</v>
      </c>
      <c r="BR75" s="317"/>
      <c r="BS75" s="317"/>
      <c r="BT75" s="317"/>
      <c r="BU75" s="317"/>
      <c r="BV75" s="317"/>
      <c r="BW75" s="317"/>
      <c r="BX75" s="317"/>
      <c r="BY75" s="317"/>
      <c r="BZ75" s="317"/>
      <c r="CA75" s="317"/>
      <c r="CB75" s="317"/>
      <c r="CC75" s="317"/>
    </row>
    <row r="76" spans="1:84">
      <c r="A76" s="699"/>
      <c r="B76" s="23"/>
      <c r="C76" s="17" t="s">
        <v>31</v>
      </c>
      <c r="D76" s="57"/>
      <c r="E76" s="2"/>
      <c r="F76" s="2"/>
      <c r="G76" s="63"/>
      <c r="H76" s="2"/>
      <c r="I76" s="20"/>
      <c r="J76" s="21"/>
      <c r="K76" s="21"/>
      <c r="L76" s="22"/>
      <c r="M76" s="2"/>
      <c r="N76" s="23"/>
      <c r="O76" s="19"/>
      <c r="P76" s="19"/>
      <c r="Q76" s="19"/>
      <c r="R76" s="33"/>
      <c r="T76" s="57"/>
      <c r="U76" s="2"/>
      <c r="V76" s="2"/>
      <c r="W76" s="199">
        <f>[2]WA!V84</f>
        <v>5474</v>
      </c>
      <c r="X76" s="198"/>
      <c r="Y76" s="198"/>
      <c r="Z76" s="198"/>
      <c r="AA76" s="274"/>
      <c r="AB76" s="21"/>
      <c r="AC76" s="21"/>
      <c r="AD76" s="21"/>
      <c r="AE76" s="21"/>
      <c r="AF76" s="70"/>
      <c r="AG76" s="20"/>
      <c r="AH76" s="21"/>
      <c r="AI76" s="21"/>
      <c r="AJ76" s="22">
        <f>W76</f>
        <v>5474</v>
      </c>
      <c r="AK76" s="29"/>
      <c r="AL76" s="19"/>
      <c r="AM76" s="57"/>
      <c r="AN76" s="2"/>
      <c r="AO76" s="2"/>
      <c r="AP76" s="63"/>
      <c r="AQ76" s="68"/>
      <c r="AR76" s="21"/>
      <c r="AS76" s="21"/>
      <c r="AT76" s="21"/>
      <c r="AU76" s="240"/>
      <c r="AV76" s="19"/>
      <c r="AW76" s="195"/>
      <c r="AX76" s="2"/>
      <c r="AY76" s="238"/>
      <c r="BB76" s="19"/>
      <c r="BC76" s="24"/>
      <c r="BG76" s="147" t="s">
        <v>7</v>
      </c>
      <c r="BH76" s="52">
        <f>Q88/1000</f>
        <v>80.682196754183863</v>
      </c>
      <c r="BI76" s="52">
        <f>AJ88/1000</f>
        <v>36.698999999999998</v>
      </c>
      <c r="BJ76" s="52">
        <f>BB88/1000</f>
        <v>5.2421931077630743</v>
      </c>
      <c r="BK76" s="137">
        <f t="shared" si="15"/>
        <v>0.34203256943868304</v>
      </c>
      <c r="BL76" s="52">
        <f t="shared" si="16"/>
        <v>122.62338986194693</v>
      </c>
      <c r="BR76" s="317"/>
      <c r="BS76" s="317"/>
      <c r="BT76" s="325"/>
      <c r="BU76" s="317"/>
      <c r="BV76" s="317"/>
      <c r="BW76" s="317"/>
      <c r="BX76" s="317"/>
      <c r="BY76" s="317"/>
      <c r="BZ76" s="317"/>
      <c r="CA76" s="317"/>
      <c r="CB76" s="317"/>
      <c r="CC76" s="317"/>
    </row>
    <row r="77" spans="1:84">
      <c r="A77" s="699"/>
      <c r="B77" s="23"/>
      <c r="C77" s="17" t="s">
        <v>32</v>
      </c>
      <c r="D77" s="57"/>
      <c r="E77" s="2"/>
      <c r="F77" s="2"/>
      <c r="G77" s="63"/>
      <c r="H77" s="2"/>
      <c r="I77" s="20"/>
      <c r="J77" s="21"/>
      <c r="K77" s="21"/>
      <c r="L77" s="22"/>
      <c r="M77" s="2"/>
      <c r="N77" s="23"/>
      <c r="O77" s="19"/>
      <c r="P77" s="19"/>
      <c r="Q77" s="19"/>
      <c r="R77" s="33"/>
      <c r="T77" s="57"/>
      <c r="U77" s="2"/>
      <c r="V77" s="2"/>
      <c r="W77" s="199">
        <f>[2]WA!V85</f>
        <v>476</v>
      </c>
      <c r="X77" s="198"/>
      <c r="Y77" s="198"/>
      <c r="Z77" s="198"/>
      <c r="AA77" s="274"/>
      <c r="AB77" s="21"/>
      <c r="AC77" s="21"/>
      <c r="AD77" s="21"/>
      <c r="AE77" s="21"/>
      <c r="AF77" s="70"/>
      <c r="AG77" s="20"/>
      <c r="AH77" s="21"/>
      <c r="AI77" s="21"/>
      <c r="AJ77" s="22">
        <f>W77</f>
        <v>476</v>
      </c>
      <c r="AK77" s="29"/>
      <c r="AL77" s="19"/>
      <c r="AM77" s="57"/>
      <c r="AN77" s="2"/>
      <c r="AO77" s="2"/>
      <c r="AP77" s="63"/>
      <c r="AQ77" s="68"/>
      <c r="AR77" s="21"/>
      <c r="AS77" s="21"/>
      <c r="AT77" s="21"/>
      <c r="AU77" s="240"/>
      <c r="AV77" s="19"/>
      <c r="AW77" s="195"/>
      <c r="AX77" s="2"/>
      <c r="AY77" s="238"/>
      <c r="BB77" s="19"/>
      <c r="BC77" s="24"/>
      <c r="BG77" s="147" t="s">
        <v>11</v>
      </c>
      <c r="BH77" s="52">
        <f>Q93/1000</f>
        <v>11.235414008507448</v>
      </c>
      <c r="BI77" s="52">
        <f>AJ93/1000</f>
        <v>0</v>
      </c>
      <c r="BJ77" s="52">
        <f>BB93/1000</f>
        <v>0</v>
      </c>
      <c r="BK77" s="137">
        <f t="shared" si="15"/>
        <v>0</v>
      </c>
      <c r="BL77" s="52">
        <f t="shared" si="16"/>
        <v>11.235414008507448</v>
      </c>
      <c r="BR77" s="317"/>
      <c r="BS77" s="317"/>
      <c r="BT77" s="326"/>
      <c r="BU77" s="325"/>
      <c r="BV77" s="317"/>
      <c r="BW77" s="317"/>
      <c r="BX77" s="317"/>
      <c r="BY77" s="317"/>
      <c r="BZ77" s="317"/>
      <c r="CA77" s="317"/>
      <c r="CB77" s="317"/>
      <c r="CC77" s="317"/>
    </row>
    <row r="78" spans="1:84" s="90" customFormat="1">
      <c r="A78" s="699"/>
      <c r="B78" s="91" t="s">
        <v>42</v>
      </c>
      <c r="C78" s="92"/>
      <c r="D78" s="93"/>
      <c r="E78" s="94"/>
      <c r="F78" s="94"/>
      <c r="G78" s="95"/>
      <c r="H78" s="94"/>
      <c r="I78" s="96"/>
      <c r="J78" s="97"/>
      <c r="K78" s="97"/>
      <c r="L78" s="98"/>
      <c r="M78" s="94"/>
      <c r="N78" s="96"/>
      <c r="O78" s="97"/>
      <c r="P78" s="97"/>
      <c r="Q78" s="97"/>
      <c r="R78" s="99"/>
      <c r="T78" s="93"/>
      <c r="U78" s="94"/>
      <c r="V78" s="2"/>
      <c r="W78" s="211"/>
      <c r="X78" s="289"/>
      <c r="Y78" s="289"/>
      <c r="Z78" s="289"/>
      <c r="AA78" s="280"/>
      <c r="AB78" s="97"/>
      <c r="AC78" s="97"/>
      <c r="AD78" s="97"/>
      <c r="AE78" s="97"/>
      <c r="AF78" s="101"/>
      <c r="AG78" s="96"/>
      <c r="AH78" s="97"/>
      <c r="AI78" s="97"/>
      <c r="AJ78" s="98">
        <f>SUM(AJ75:AJ77)</f>
        <v>8792</v>
      </c>
      <c r="AK78" s="102">
        <f>SUM(AK75:AK77)</f>
        <v>0</v>
      </c>
      <c r="AL78" s="103"/>
      <c r="AM78" s="93"/>
      <c r="AN78" s="94"/>
      <c r="AO78" s="94"/>
      <c r="AP78" s="95"/>
      <c r="AQ78" s="100"/>
      <c r="AR78" s="97"/>
      <c r="AS78" s="128"/>
      <c r="AT78" s="128"/>
      <c r="AU78" s="104"/>
      <c r="AV78" s="97"/>
      <c r="AW78" s="98"/>
      <c r="AX78" s="94"/>
      <c r="AY78" s="239"/>
      <c r="BB78" s="97"/>
      <c r="BC78" s="105"/>
      <c r="BG78" s="147" t="s">
        <v>1</v>
      </c>
      <c r="BH78" s="52">
        <f>Q94/1000</f>
        <v>326.92032753644827</v>
      </c>
      <c r="BI78" s="52">
        <f>AJ94/1000</f>
        <v>370.93974772354085</v>
      </c>
      <c r="BJ78" s="52">
        <f>BB94/1000</f>
        <v>0</v>
      </c>
      <c r="BK78" s="137">
        <f t="shared" si="15"/>
        <v>0.53153885839556958</v>
      </c>
      <c r="BL78" s="52">
        <f t="shared" si="16"/>
        <v>697.86007525998912</v>
      </c>
      <c r="BM78" s="6"/>
      <c r="BN78" s="6"/>
      <c r="BO78" s="6"/>
      <c r="BR78" s="334"/>
      <c r="BS78" s="334"/>
      <c r="BT78" s="328"/>
      <c r="BU78" s="326"/>
      <c r="BV78" s="317"/>
      <c r="BW78" s="317"/>
      <c r="BX78" s="317"/>
      <c r="BY78" s="317"/>
      <c r="BZ78" s="317"/>
      <c r="CA78" s="317"/>
      <c r="CB78" s="317"/>
      <c r="CC78" s="334"/>
      <c r="CD78" s="6"/>
      <c r="CE78" s="6"/>
      <c r="CF78" s="6"/>
    </row>
    <row r="79" spans="1:84">
      <c r="A79" s="699"/>
      <c r="B79" s="23"/>
      <c r="C79" s="17" t="s">
        <v>33</v>
      </c>
      <c r="D79" s="57"/>
      <c r="E79" s="2"/>
      <c r="F79" s="2"/>
      <c r="G79" s="63"/>
      <c r="H79" s="2"/>
      <c r="I79" s="20"/>
      <c r="J79" s="21"/>
      <c r="K79" s="21"/>
      <c r="L79" s="22"/>
      <c r="M79" s="2"/>
      <c r="N79" s="23"/>
      <c r="O79" s="19"/>
      <c r="P79" s="19"/>
      <c r="Q79" s="19"/>
      <c r="R79" s="33"/>
      <c r="T79" s="57"/>
      <c r="U79" s="2"/>
      <c r="V79" s="2"/>
      <c r="W79" s="199">
        <f>[2]WA!V87</f>
        <v>1498</v>
      </c>
      <c r="X79" s="198"/>
      <c r="Y79" s="198"/>
      <c r="Z79" s="198"/>
      <c r="AA79" s="274"/>
      <c r="AB79" s="21"/>
      <c r="AC79" s="21"/>
      <c r="AD79" s="21"/>
      <c r="AE79" s="21"/>
      <c r="AF79" s="70"/>
      <c r="AG79" s="20"/>
      <c r="AH79" s="21"/>
      <c r="AI79" s="21"/>
      <c r="AJ79" s="22">
        <f>W79</f>
        <v>1498</v>
      </c>
      <c r="AK79" s="29"/>
      <c r="AL79" s="19"/>
      <c r="AM79" s="57"/>
      <c r="AN79" s="2"/>
      <c r="AO79" s="2"/>
      <c r="AP79" s="63"/>
      <c r="AQ79" s="68"/>
      <c r="AR79" s="21"/>
      <c r="AS79" s="21"/>
      <c r="AT79" s="21"/>
      <c r="AU79" s="240"/>
      <c r="AV79" s="19"/>
      <c r="AW79" s="195"/>
      <c r="AX79" s="2"/>
      <c r="AY79" s="238"/>
      <c r="BB79" s="19"/>
      <c r="BC79" s="24"/>
      <c r="BG79" s="142"/>
      <c r="BR79" s="317"/>
      <c r="BS79" s="317"/>
      <c r="BT79" s="328"/>
      <c r="BU79" s="329"/>
      <c r="BV79" s="317"/>
      <c r="BW79" s="317"/>
      <c r="BX79" s="317"/>
      <c r="BY79" s="317"/>
      <c r="BZ79" s="317"/>
      <c r="CA79" s="317"/>
      <c r="CB79" s="317"/>
      <c r="CC79" s="317"/>
    </row>
    <row r="80" spans="1:84">
      <c r="A80" s="699"/>
      <c r="B80" s="23"/>
      <c r="C80" s="17" t="s">
        <v>34</v>
      </c>
      <c r="D80" s="57"/>
      <c r="E80" s="2"/>
      <c r="F80" s="2"/>
      <c r="G80" s="63"/>
      <c r="H80" s="2"/>
      <c r="I80" s="20"/>
      <c r="J80" s="21"/>
      <c r="K80" s="21"/>
      <c r="L80" s="22"/>
      <c r="M80" s="2"/>
      <c r="N80" s="23"/>
      <c r="O80" s="19"/>
      <c r="P80" s="19"/>
      <c r="Q80" s="19"/>
      <c r="R80" s="33"/>
      <c r="T80" s="57"/>
      <c r="U80" s="2"/>
      <c r="V80" s="2"/>
      <c r="W80" s="199">
        <f>[2]WA!V88</f>
        <v>2370</v>
      </c>
      <c r="X80" s="198"/>
      <c r="Y80" s="198"/>
      <c r="Z80" s="198"/>
      <c r="AA80" s="274"/>
      <c r="AB80" s="21"/>
      <c r="AC80" s="21"/>
      <c r="AD80" s="21"/>
      <c r="AE80" s="21"/>
      <c r="AF80" s="70"/>
      <c r="AG80" s="20"/>
      <c r="AH80" s="21"/>
      <c r="AI80" s="21"/>
      <c r="AJ80" s="22">
        <f>W80</f>
        <v>2370</v>
      </c>
      <c r="AK80" s="29"/>
      <c r="AL80" s="19"/>
      <c r="AM80" s="57"/>
      <c r="AN80" s="2"/>
      <c r="AO80" s="2"/>
      <c r="AP80" s="63"/>
      <c r="AQ80" s="68"/>
      <c r="AR80" s="21"/>
      <c r="AS80" s="21"/>
      <c r="AT80" s="21"/>
      <c r="AU80" s="240"/>
      <c r="AV80" s="19"/>
      <c r="AW80" s="195"/>
      <c r="AX80" s="2"/>
      <c r="AY80" s="238"/>
      <c r="BB80" s="19"/>
      <c r="BC80" s="24"/>
      <c r="BR80" s="317"/>
      <c r="BS80" s="317"/>
      <c r="BT80" s="317"/>
      <c r="BU80" s="329"/>
      <c r="BV80" s="317"/>
      <c r="BW80" s="317"/>
      <c r="BX80" s="317"/>
      <c r="BY80" s="317"/>
      <c r="BZ80" s="317"/>
      <c r="CA80" s="317"/>
      <c r="CB80" s="317"/>
      <c r="CC80" s="317"/>
    </row>
    <row r="81" spans="1:84">
      <c r="A81" s="699"/>
      <c r="B81" s="23"/>
      <c r="C81" s="17" t="s">
        <v>35</v>
      </c>
      <c r="D81" s="57"/>
      <c r="E81" s="2"/>
      <c r="F81" s="2"/>
      <c r="G81" s="63"/>
      <c r="H81" s="2"/>
      <c r="I81" s="20"/>
      <c r="J81" s="21"/>
      <c r="K81" s="21"/>
      <c r="L81" s="22"/>
      <c r="M81" s="2"/>
      <c r="N81" s="23"/>
      <c r="O81" s="19"/>
      <c r="P81" s="19"/>
      <c r="Q81" s="19"/>
      <c r="R81" s="33"/>
      <c r="T81" s="57"/>
      <c r="U81" s="2"/>
      <c r="V81" s="2"/>
      <c r="W81" s="199">
        <f>[2]WA!V89</f>
        <v>430</v>
      </c>
      <c r="X81" s="198"/>
      <c r="Y81" s="198"/>
      <c r="Z81" s="198"/>
      <c r="AA81" s="274"/>
      <c r="AB81" s="21"/>
      <c r="AC81" s="21"/>
      <c r="AD81" s="21"/>
      <c r="AE81" s="21"/>
      <c r="AF81" s="70"/>
      <c r="AG81" s="20"/>
      <c r="AH81" s="21"/>
      <c r="AI81" s="21"/>
      <c r="AJ81" s="22">
        <f>W81</f>
        <v>430</v>
      </c>
      <c r="AK81" s="29"/>
      <c r="AL81" s="19"/>
      <c r="AM81" s="57"/>
      <c r="AN81" s="2"/>
      <c r="AO81" s="2"/>
      <c r="AP81" s="63"/>
      <c r="AQ81" s="68"/>
      <c r="AR81" s="21"/>
      <c r="AS81" s="21"/>
      <c r="AT81" s="21"/>
      <c r="AU81" s="240"/>
      <c r="AV81" s="19"/>
      <c r="AW81" s="195"/>
      <c r="AX81" s="2"/>
      <c r="AY81" s="238"/>
      <c r="BB81" s="19"/>
      <c r="BC81" s="24"/>
      <c r="BR81" s="317"/>
      <c r="BS81" s="317"/>
      <c r="BT81" s="314"/>
      <c r="BU81" s="317"/>
      <c r="BV81" s="317"/>
      <c r="BW81" s="317"/>
      <c r="BX81" s="317"/>
      <c r="BY81" s="317"/>
      <c r="BZ81" s="317"/>
      <c r="CA81" s="317"/>
      <c r="CB81" s="317"/>
      <c r="CC81" s="317"/>
    </row>
    <row r="82" spans="1:84">
      <c r="A82" s="699"/>
      <c r="B82" s="23"/>
      <c r="C82" s="17" t="s">
        <v>36</v>
      </c>
      <c r="D82" s="57"/>
      <c r="E82" s="2"/>
      <c r="F82" s="2"/>
      <c r="G82" s="63"/>
      <c r="H82" s="2"/>
      <c r="I82" s="20"/>
      <c r="J82" s="21"/>
      <c r="K82" s="21"/>
      <c r="L82" s="22"/>
      <c r="M82" s="2"/>
      <c r="N82" s="23"/>
      <c r="O82" s="19"/>
      <c r="P82" s="19"/>
      <c r="Q82" s="19"/>
      <c r="R82" s="33"/>
      <c r="T82" s="57"/>
      <c r="U82" s="2"/>
      <c r="V82" s="2"/>
      <c r="W82" s="199">
        <f>[2]WA!V90</f>
        <v>848</v>
      </c>
      <c r="X82" s="198"/>
      <c r="Y82" s="198"/>
      <c r="Z82" s="198"/>
      <c r="AA82" s="274"/>
      <c r="AB82" s="21"/>
      <c r="AC82" s="21"/>
      <c r="AD82" s="21"/>
      <c r="AE82" s="21"/>
      <c r="AF82" s="70"/>
      <c r="AG82" s="20"/>
      <c r="AH82" s="21"/>
      <c r="AI82" s="21"/>
      <c r="AJ82" s="22">
        <f>W82</f>
        <v>848</v>
      </c>
      <c r="AK82" s="29"/>
      <c r="AL82" s="19"/>
      <c r="AM82" s="57"/>
      <c r="AN82" s="2"/>
      <c r="AO82" s="2"/>
      <c r="AP82" s="63"/>
      <c r="AQ82" s="68"/>
      <c r="AR82" s="21"/>
      <c r="AS82" s="21"/>
      <c r="AT82" s="21"/>
      <c r="AU82" s="240"/>
      <c r="AV82" s="19"/>
      <c r="AW82" s="195"/>
      <c r="AX82" s="2"/>
      <c r="AY82" s="238"/>
      <c r="BB82" s="19"/>
      <c r="BC82" s="24"/>
      <c r="BR82" s="317"/>
      <c r="BS82" s="317"/>
      <c r="BT82" s="317"/>
      <c r="BU82" s="314"/>
      <c r="BV82" s="314"/>
      <c r="BW82" s="314"/>
      <c r="BX82" s="314"/>
      <c r="BY82" s="314"/>
      <c r="BZ82" s="314"/>
      <c r="CA82" s="314"/>
      <c r="CB82" s="314"/>
      <c r="CC82" s="317"/>
    </row>
    <row r="83" spans="1:84" s="90" customFormat="1">
      <c r="A83" s="699"/>
      <c r="B83" s="91" t="s">
        <v>43</v>
      </c>
      <c r="C83" s="92"/>
      <c r="D83" s="93"/>
      <c r="E83" s="94"/>
      <c r="F83" s="94"/>
      <c r="G83" s="95"/>
      <c r="H83" s="94"/>
      <c r="I83" s="96"/>
      <c r="J83" s="97"/>
      <c r="K83" s="97"/>
      <c r="L83" s="98"/>
      <c r="M83" s="94"/>
      <c r="N83" s="96"/>
      <c r="O83" s="97"/>
      <c r="P83" s="97"/>
      <c r="Q83" s="97"/>
      <c r="R83" s="99"/>
      <c r="T83" s="93"/>
      <c r="U83" s="94"/>
      <c r="V83" s="2"/>
      <c r="W83" s="211"/>
      <c r="X83" s="289"/>
      <c r="Y83" s="289"/>
      <c r="Z83" s="289"/>
      <c r="AA83" s="280"/>
      <c r="AB83" s="97"/>
      <c r="AC83" s="97"/>
      <c r="AD83" s="97"/>
      <c r="AE83" s="97"/>
      <c r="AF83" s="101"/>
      <c r="AG83" s="96"/>
      <c r="AH83" s="97"/>
      <c r="AI83" s="97"/>
      <c r="AJ83" s="98">
        <f>SUM(AJ79:AJ82)</f>
        <v>5146</v>
      </c>
      <c r="AK83" s="102">
        <f>SUM(AK79:AK82)</f>
        <v>0</v>
      </c>
      <c r="AL83" s="103"/>
      <c r="AM83" s="93"/>
      <c r="AN83" s="94"/>
      <c r="AO83" s="94"/>
      <c r="AP83" s="95"/>
      <c r="AQ83" s="100"/>
      <c r="AR83" s="97"/>
      <c r="AS83" s="97"/>
      <c r="AT83" s="97"/>
      <c r="AU83" s="104"/>
      <c r="AV83" s="97"/>
      <c r="AW83" s="98"/>
      <c r="AX83" s="94"/>
      <c r="AY83" s="239"/>
      <c r="BB83" s="97"/>
      <c r="BC83" s="105"/>
      <c r="BG83" s="143"/>
      <c r="BR83" s="334"/>
      <c r="BS83" s="334"/>
      <c r="BT83" s="317"/>
      <c r="BU83" s="317"/>
      <c r="BV83" s="317"/>
      <c r="BW83" s="317"/>
      <c r="BX83" s="317"/>
      <c r="BY83" s="317"/>
      <c r="BZ83" s="317"/>
      <c r="CA83" s="317"/>
      <c r="CB83" s="317"/>
      <c r="CC83" s="334"/>
      <c r="CD83" s="6"/>
      <c r="CE83" s="6"/>
      <c r="CF83" s="6"/>
    </row>
    <row r="84" spans="1:84" s="106" customFormat="1">
      <c r="A84" s="699"/>
      <c r="B84" s="107" t="s">
        <v>67</v>
      </c>
      <c r="C84" s="108"/>
      <c r="D84" s="109"/>
      <c r="E84" s="110"/>
      <c r="F84" s="110"/>
      <c r="G84" s="111"/>
      <c r="H84" s="110"/>
      <c r="I84" s="112">
        <f>D97*[2]WA!$F$384</f>
        <v>119875.82886553888</v>
      </c>
      <c r="J84" s="113">
        <f>E97*[2]WA!J$351</f>
        <v>168720.67540257357</v>
      </c>
      <c r="K84" s="113">
        <f>F97*[2]WA!K$351</f>
        <v>10263.717252351411</v>
      </c>
      <c r="L84" s="114">
        <f>SUM(I84:K84)</f>
        <v>298860.22152046388</v>
      </c>
      <c r="M84" s="110"/>
      <c r="N84" s="112">
        <f t="shared" ref="N84:P85" si="17">I84-AU84</f>
        <v>119875.82886553888</v>
      </c>
      <c r="O84" s="113">
        <f t="shared" si="17"/>
        <v>168720.67540257357</v>
      </c>
      <c r="P84" s="113">
        <f t="shared" si="17"/>
        <v>10263.717252351411</v>
      </c>
      <c r="Q84" s="114">
        <f>SUM(N84:P84)</f>
        <v>298860.22152046388</v>
      </c>
      <c r="R84" s="115">
        <f>Q84/[2]Popn!$I$42*1000</f>
        <v>131.22892176874987</v>
      </c>
      <c r="T84" s="202"/>
      <c r="U84" s="130"/>
      <c r="V84" s="2"/>
      <c r="W84" s="203"/>
      <c r="X84" s="130"/>
      <c r="Y84" s="130"/>
      <c r="Z84" s="130"/>
      <c r="AA84" s="276"/>
      <c r="AB84" s="113"/>
      <c r="AC84" s="113"/>
      <c r="AD84" s="113"/>
      <c r="AE84" s="113"/>
      <c r="AF84" s="117"/>
      <c r="AG84" s="112"/>
      <c r="AH84" s="113"/>
      <c r="AI84" s="113"/>
      <c r="AJ84" s="114">
        <f>AJ78+AJ83</f>
        <v>13938</v>
      </c>
      <c r="AK84" s="115">
        <f>AK78+AK83</f>
        <v>0</v>
      </c>
      <c r="AL84" s="119"/>
      <c r="AM84" s="109"/>
      <c r="AN84" s="110"/>
      <c r="AO84" s="110"/>
      <c r="AP84" s="111"/>
      <c r="AQ84" s="116"/>
      <c r="AR84" s="113"/>
      <c r="AS84" s="113"/>
      <c r="AT84" s="113"/>
      <c r="AU84" s="120"/>
      <c r="AV84" s="113"/>
      <c r="AW84" s="114"/>
      <c r="AX84" s="110"/>
      <c r="AY84" s="237"/>
      <c r="BB84" s="113"/>
      <c r="BC84" s="118">
        <f>BB84/[2]Popn!$I$42*1000</f>
        <v>0</v>
      </c>
      <c r="BG84" s="144"/>
      <c r="BR84" s="314"/>
      <c r="BS84" s="314"/>
      <c r="BT84" s="317"/>
      <c r="BU84" s="317"/>
      <c r="BV84" s="317"/>
      <c r="BW84" s="317"/>
      <c r="BX84" s="317"/>
      <c r="BY84" s="317"/>
      <c r="BZ84" s="317"/>
      <c r="CA84" s="317"/>
      <c r="CB84" s="317"/>
      <c r="CC84" s="314"/>
      <c r="CD84" s="6"/>
      <c r="CE84" s="6"/>
      <c r="CF84" s="6"/>
    </row>
    <row r="85" spans="1:84" s="106" customFormat="1">
      <c r="A85" s="699"/>
      <c r="B85" s="37" t="s">
        <v>8</v>
      </c>
      <c r="C85" s="129" t="s">
        <v>8</v>
      </c>
      <c r="D85" s="109"/>
      <c r="E85" s="110"/>
      <c r="F85" s="110"/>
      <c r="G85" s="111"/>
      <c r="H85" s="110"/>
      <c r="I85" s="112">
        <f>D97*[2]WA!$F$385</f>
        <v>92212.176050414535</v>
      </c>
      <c r="J85" s="113">
        <f>E97*[2]WA!J$352</f>
        <v>16068.635752626054</v>
      </c>
      <c r="K85" s="113">
        <f>F97*[2]WA!K$352</f>
        <v>1282.9646565439264</v>
      </c>
      <c r="L85" s="114">
        <f>SUM(I85:K85)</f>
        <v>109563.77645958452</v>
      </c>
      <c r="M85" s="110"/>
      <c r="N85" s="112">
        <f t="shared" si="17"/>
        <v>92212.176050414535</v>
      </c>
      <c r="O85" s="113">
        <f t="shared" si="17"/>
        <v>16068.635752626054</v>
      </c>
      <c r="P85" s="113">
        <f t="shared" si="17"/>
        <v>1282.9646565439264</v>
      </c>
      <c r="Q85" s="114">
        <f>SUM(N85:P85)</f>
        <v>109563.77645958452</v>
      </c>
      <c r="R85" s="115">
        <f>Q85/[2]Popn!$I$42*1000</f>
        <v>48.109233729919843</v>
      </c>
      <c r="T85" s="109"/>
      <c r="U85" s="110"/>
      <c r="V85" s="2"/>
      <c r="W85" s="199">
        <f>[2]WA!V93</f>
        <v>27744</v>
      </c>
      <c r="X85" s="198"/>
      <c r="Y85" s="198"/>
      <c r="Z85" s="198"/>
      <c r="AA85" s="276"/>
      <c r="AB85" s="113"/>
      <c r="AC85" s="113"/>
      <c r="AD85" s="113"/>
      <c r="AE85" s="113"/>
      <c r="AF85" s="117"/>
      <c r="AG85" s="112"/>
      <c r="AH85" s="113"/>
      <c r="AI85" s="113"/>
      <c r="AJ85" s="114">
        <f t="shared" ref="AJ85:AJ92" si="18">W85</f>
        <v>27744</v>
      </c>
      <c r="AK85" s="118">
        <f>AJ85/[2]Popn!$I$42*1000</f>
        <v>12.182334561051306</v>
      </c>
      <c r="AL85" s="119"/>
      <c r="AM85" s="109"/>
      <c r="AN85" s="110"/>
      <c r="AO85" s="110"/>
      <c r="AP85" s="111"/>
      <c r="AQ85" s="116"/>
      <c r="AR85" s="113"/>
      <c r="AS85" s="113"/>
      <c r="AT85" s="113"/>
      <c r="AU85" s="120"/>
      <c r="AV85" s="113"/>
      <c r="AW85" s="114"/>
      <c r="AX85" s="110"/>
      <c r="AY85" s="237"/>
      <c r="BB85" s="113"/>
      <c r="BC85" s="121"/>
      <c r="BG85" s="144"/>
      <c r="BR85" s="314"/>
      <c r="BS85" s="314"/>
      <c r="BT85" s="314"/>
      <c r="BU85" s="317"/>
      <c r="BV85" s="317"/>
      <c r="BW85" s="317"/>
      <c r="BX85" s="317"/>
      <c r="BY85" s="317"/>
      <c r="BZ85" s="317"/>
      <c r="CA85" s="317"/>
      <c r="CB85" s="317"/>
      <c r="CC85" s="314"/>
      <c r="CD85" s="6"/>
      <c r="CE85" s="6"/>
      <c r="CF85" s="6"/>
    </row>
    <row r="86" spans="1:84">
      <c r="A86" s="699"/>
      <c r="B86" s="23" t="s">
        <v>7</v>
      </c>
      <c r="C86" s="17" t="s">
        <v>9</v>
      </c>
      <c r="D86" s="57"/>
      <c r="E86" s="2"/>
      <c r="F86" s="2"/>
      <c r="G86" s="63"/>
      <c r="H86" s="2"/>
      <c r="I86" s="20"/>
      <c r="J86" s="21"/>
      <c r="K86" s="21"/>
      <c r="L86" s="22"/>
      <c r="M86" s="2"/>
      <c r="N86" s="20"/>
      <c r="O86" s="21"/>
      <c r="P86" s="21"/>
      <c r="Q86" s="22"/>
      <c r="R86" s="34"/>
      <c r="T86" s="57"/>
      <c r="U86" s="2"/>
      <c r="V86" s="2"/>
      <c r="W86" s="199">
        <f>[2]WA!V94</f>
        <v>21179</v>
      </c>
      <c r="X86" s="198"/>
      <c r="Y86" s="198"/>
      <c r="Z86" s="198"/>
      <c r="AA86" s="274"/>
      <c r="AB86" s="21"/>
      <c r="AC86" s="21"/>
      <c r="AD86" s="21"/>
      <c r="AE86" s="21"/>
      <c r="AF86" s="70"/>
      <c r="AG86" s="20"/>
      <c r="AH86" s="21"/>
      <c r="AI86" s="21"/>
      <c r="AJ86" s="22">
        <f t="shared" si="18"/>
        <v>21179</v>
      </c>
      <c r="AK86" s="29">
        <f>AJ86/[2]Popn!$I$42*1000</f>
        <v>9.2996562740955007</v>
      </c>
      <c r="AL86" s="19"/>
      <c r="AM86" s="57"/>
      <c r="AN86" s="2"/>
      <c r="AO86" s="2"/>
      <c r="AP86" s="63"/>
      <c r="AQ86" s="68"/>
      <c r="AR86" s="21"/>
      <c r="AS86" s="35"/>
      <c r="AT86" s="21"/>
      <c r="AU86" s="25"/>
      <c r="AV86" s="21"/>
      <c r="AW86" s="22"/>
      <c r="AX86" s="2"/>
      <c r="AY86" s="238"/>
      <c r="BB86" s="21"/>
      <c r="BC86" s="29"/>
      <c r="BR86" s="337"/>
      <c r="BS86" s="337"/>
      <c r="BT86" s="337"/>
      <c r="BU86" s="314"/>
      <c r="BV86" s="314"/>
      <c r="BW86" s="314"/>
      <c r="BX86" s="314"/>
      <c r="BY86" s="314"/>
      <c r="BZ86" s="314"/>
      <c r="CA86" s="314"/>
      <c r="CB86" s="314"/>
      <c r="CC86" s="337"/>
    </row>
    <row r="87" spans="1:84">
      <c r="A87" s="699"/>
      <c r="B87" s="23"/>
      <c r="C87" s="17" t="s">
        <v>10</v>
      </c>
      <c r="D87" s="57"/>
      <c r="E87" s="2"/>
      <c r="F87" s="2"/>
      <c r="G87" s="63"/>
      <c r="H87" s="2"/>
      <c r="I87" s="20"/>
      <c r="J87" s="21"/>
      <c r="K87" s="21"/>
      <c r="L87" s="22"/>
      <c r="M87" s="2"/>
      <c r="N87" s="20"/>
      <c r="O87" s="21"/>
      <c r="P87" s="21"/>
      <c r="Q87" s="22"/>
      <c r="R87" s="33"/>
      <c r="T87" s="57"/>
      <c r="U87" s="2"/>
      <c r="V87" s="2"/>
      <c r="W87" s="199">
        <f>[2]WA!V95</f>
        <v>15520</v>
      </c>
      <c r="X87" s="198"/>
      <c r="Y87" s="198"/>
      <c r="Z87" s="198"/>
      <c r="AA87" s="274"/>
      <c r="AB87" s="21"/>
      <c r="AC87" s="21"/>
      <c r="AD87" s="21"/>
      <c r="AE87" s="21"/>
      <c r="AF87" s="70"/>
      <c r="AG87" s="20"/>
      <c r="AH87" s="21"/>
      <c r="AI87" s="21"/>
      <c r="AJ87" s="22">
        <f t="shared" si="18"/>
        <v>15520</v>
      </c>
      <c r="AK87" s="29">
        <f>AJ87/[2]Popn!$I$42*1000</f>
        <v>6.8148007636792203</v>
      </c>
      <c r="AL87" s="19"/>
      <c r="AM87" s="57"/>
      <c r="AN87" s="2"/>
      <c r="AO87" s="2"/>
      <c r="AP87" s="63"/>
      <c r="AQ87" s="68"/>
      <c r="AR87" s="21"/>
      <c r="AS87" s="21"/>
      <c r="AT87" s="21"/>
      <c r="AU87" s="240"/>
      <c r="AV87" s="21"/>
      <c r="AW87" s="195"/>
      <c r="AX87" s="2"/>
      <c r="AY87" s="238"/>
      <c r="BB87" s="21"/>
      <c r="BC87" s="29"/>
      <c r="BR87" s="337"/>
      <c r="BS87" s="337"/>
      <c r="BT87" s="337"/>
      <c r="BU87" s="338" t="s">
        <v>2</v>
      </c>
      <c r="BV87" s="337"/>
      <c r="BW87" s="337"/>
      <c r="BX87" s="337"/>
      <c r="BY87" s="337"/>
      <c r="BZ87" s="337"/>
      <c r="CA87" s="337"/>
      <c r="CB87" s="337"/>
      <c r="CC87" s="337"/>
    </row>
    <row r="88" spans="1:84" s="106" customFormat="1">
      <c r="A88" s="699"/>
      <c r="B88" s="107" t="s">
        <v>67</v>
      </c>
      <c r="C88" s="108"/>
      <c r="D88" s="109"/>
      <c r="E88" s="110"/>
      <c r="F88" s="110"/>
      <c r="G88" s="111"/>
      <c r="H88" s="110"/>
      <c r="I88" s="112">
        <f>D97*[2]WA!$F$386</f>
        <v>18442.435210082906</v>
      </c>
      <c r="J88" s="113">
        <f>E97*[2]WA!J$353</f>
        <v>64274.543010504218</v>
      </c>
      <c r="K88" s="113">
        <f>F97*[2]WA!K$353</f>
        <v>3207.4116413598158</v>
      </c>
      <c r="L88" s="114">
        <f>SUM(I88:K88)</f>
        <v>85924.38986194694</v>
      </c>
      <c r="M88" s="110"/>
      <c r="N88" s="112">
        <f>I88-AU88</f>
        <v>17317.273810578114</v>
      </c>
      <c r="O88" s="113">
        <f>J88-AV88</f>
        <v>60353.193473828534</v>
      </c>
      <c r="P88" s="113">
        <f>K88-AW88</f>
        <v>3011.7294697772186</v>
      </c>
      <c r="Q88" s="114">
        <f>SUM(N88:P88)</f>
        <v>80682.196754183868</v>
      </c>
      <c r="R88" s="115">
        <f>Q88/[2]Popn!$I$42*1000</f>
        <v>35.42739020977637</v>
      </c>
      <c r="T88" s="109"/>
      <c r="U88" s="110"/>
      <c r="V88" s="110"/>
      <c r="W88" s="203"/>
      <c r="X88" s="130"/>
      <c r="Y88" s="130"/>
      <c r="Z88" s="130"/>
      <c r="AA88" s="276"/>
      <c r="AB88" s="113"/>
      <c r="AC88" s="113"/>
      <c r="AD88" s="113"/>
      <c r="AE88" s="113"/>
      <c r="AF88" s="117"/>
      <c r="AG88" s="112"/>
      <c r="AH88" s="113"/>
      <c r="AI88" s="113"/>
      <c r="AJ88" s="114">
        <f>SUM(AJ86:AJ87)</f>
        <v>36699</v>
      </c>
      <c r="AK88" s="118">
        <f>SUM(AK86:AK87)</f>
        <v>16.11445703777472</v>
      </c>
      <c r="AL88" s="119"/>
      <c r="AM88" s="109"/>
      <c r="AN88" s="110"/>
      <c r="AO88" s="110"/>
      <c r="AP88" s="111"/>
      <c r="AQ88" s="116"/>
      <c r="AR88" s="113">
        <f>L88*'[2]Lfill en &amp; composn'!$D$25</f>
        <v>13533.091403256643</v>
      </c>
      <c r="AS88" s="113">
        <f>AR88/SUM($AR$54:$AR$96)</f>
        <v>4.5944267501668891E-2</v>
      </c>
      <c r="AT88" s="113">
        <f>AS88*'[2]Lfill en &amp; composn'!$I$64/'[2]Lfill en &amp; composn'!$B$25</f>
        <v>5242.1931077630743</v>
      </c>
      <c r="AU88" s="120">
        <f>$AT88*I88/SUM($I88:$K88)</f>
        <v>1125.1613995047928</v>
      </c>
      <c r="AV88" s="113">
        <f>$AT88*J88/SUM($I88:$K88)</f>
        <v>3921.3495366756838</v>
      </c>
      <c r="AW88" s="114">
        <f>$AT88*K88/SUM($I88:$K88)</f>
        <v>195.68217158259719</v>
      </c>
      <c r="AX88" s="110"/>
      <c r="AY88" s="241">
        <f>AU88</f>
        <v>1125.1613995047928</v>
      </c>
      <c r="AZ88" s="242">
        <f>AV88</f>
        <v>3921.3495366756838</v>
      </c>
      <c r="BA88" s="242">
        <f>AW88</f>
        <v>195.68217158259719</v>
      </c>
      <c r="BB88" s="114">
        <f>AT88+AP88</f>
        <v>5242.1931077630743</v>
      </c>
      <c r="BC88" s="118">
        <f>BB88/[2]Popn!$I$42*1000</f>
        <v>2.3018364429212461</v>
      </c>
      <c r="BD88" s="122"/>
      <c r="BG88" s="144"/>
      <c r="BR88" s="340"/>
      <c r="BS88" s="340"/>
      <c r="BT88" s="340"/>
      <c r="BU88" s="337"/>
      <c r="BV88" s="339" t="s">
        <v>72</v>
      </c>
      <c r="BW88" s="339" t="s">
        <v>68</v>
      </c>
      <c r="BX88" s="339" t="s">
        <v>69</v>
      </c>
      <c r="BY88" s="337"/>
      <c r="BZ88" s="337"/>
      <c r="CA88" s="337"/>
      <c r="CB88" s="337"/>
      <c r="CC88" s="340"/>
    </row>
    <row r="89" spans="1:84">
      <c r="A89" s="699"/>
      <c r="B89" s="23" t="s">
        <v>11</v>
      </c>
      <c r="C89" s="17" t="s">
        <v>12</v>
      </c>
      <c r="D89" s="57"/>
      <c r="E89" s="2"/>
      <c r="F89" s="2"/>
      <c r="G89" s="63"/>
      <c r="H89" s="2"/>
      <c r="I89" s="20"/>
      <c r="J89" s="21"/>
      <c r="K89" s="21"/>
      <c r="L89" s="22"/>
      <c r="M89" s="729" t="s">
        <v>97</v>
      </c>
      <c r="N89" s="20"/>
      <c r="O89" s="21"/>
      <c r="P89" s="21"/>
      <c r="Q89" s="22"/>
      <c r="R89" s="33"/>
      <c r="T89" s="57"/>
      <c r="U89" s="2"/>
      <c r="V89" s="2"/>
      <c r="W89" s="199"/>
      <c r="X89" s="198"/>
      <c r="Y89" s="198"/>
      <c r="Z89" s="198"/>
      <c r="AA89" s="274"/>
      <c r="AB89" s="21"/>
      <c r="AC89" s="21"/>
      <c r="AD89" s="21"/>
      <c r="AE89" s="21"/>
      <c r="AF89" s="70"/>
      <c r="AG89" s="20"/>
      <c r="AH89" s="21"/>
      <c r="AI89" s="21"/>
      <c r="AJ89" s="22">
        <f t="shared" si="18"/>
        <v>0</v>
      </c>
      <c r="AK89" s="29"/>
      <c r="AL89" s="19"/>
      <c r="AM89" s="57"/>
      <c r="AN89" s="2"/>
      <c r="AO89" s="2"/>
      <c r="AP89" s="63"/>
      <c r="AQ89" s="68"/>
      <c r="AR89" s="21"/>
      <c r="AS89" s="21"/>
      <c r="AT89" s="21"/>
      <c r="AU89" s="25"/>
      <c r="AV89" s="21"/>
      <c r="AW89" s="22"/>
      <c r="AX89" s="2"/>
      <c r="AY89" s="23"/>
      <c r="AZ89" s="19"/>
      <c r="BA89" s="19"/>
      <c r="BB89" s="19"/>
      <c r="BC89" s="24"/>
      <c r="BR89" s="337"/>
      <c r="BS89" s="314"/>
      <c r="BT89" s="314"/>
      <c r="BU89" s="349" t="s">
        <v>100</v>
      </c>
      <c r="BV89" s="341">
        <f>BH166</f>
        <v>1170.4183204082867</v>
      </c>
      <c r="BW89" s="341">
        <f>BI166</f>
        <v>343.64299999999997</v>
      </c>
      <c r="BX89" s="341">
        <f>BJ166</f>
        <v>158.8578333639158</v>
      </c>
      <c r="BY89" s="340"/>
      <c r="BZ89" s="340"/>
      <c r="CA89" s="340"/>
      <c r="CB89" s="340"/>
      <c r="CC89" s="337"/>
    </row>
    <row r="90" spans="1:84">
      <c r="A90" s="699"/>
      <c r="B90" s="23"/>
      <c r="C90" s="17" t="s">
        <v>13</v>
      </c>
      <c r="D90" s="57"/>
      <c r="E90" s="2"/>
      <c r="F90" s="2"/>
      <c r="G90" s="156"/>
      <c r="H90" s="3"/>
      <c r="I90" s="20"/>
      <c r="J90" s="21"/>
      <c r="K90" s="21"/>
      <c r="L90" s="22"/>
      <c r="M90" s="729"/>
      <c r="N90" s="20"/>
      <c r="O90" s="21"/>
      <c r="P90" s="21"/>
      <c r="Q90" s="22"/>
      <c r="R90" s="34"/>
      <c r="T90" s="57"/>
      <c r="U90" s="2"/>
      <c r="V90" s="2"/>
      <c r="W90" s="199"/>
      <c r="X90" s="198"/>
      <c r="Y90" s="198"/>
      <c r="Z90" s="198"/>
      <c r="AA90" s="282"/>
      <c r="AB90" s="21"/>
      <c r="AC90" s="21"/>
      <c r="AD90" s="21"/>
      <c r="AE90" s="21"/>
      <c r="AF90" s="70"/>
      <c r="AG90" s="20"/>
      <c r="AH90" s="21"/>
      <c r="AI90" s="21"/>
      <c r="AJ90" s="22">
        <f t="shared" si="18"/>
        <v>0</v>
      </c>
      <c r="AK90" s="29"/>
      <c r="AL90" s="19"/>
      <c r="AM90" s="57"/>
      <c r="AN90" s="2"/>
      <c r="AO90" s="2"/>
      <c r="AP90" s="64"/>
      <c r="AQ90" s="69"/>
      <c r="AR90" s="21"/>
      <c r="AS90" s="21"/>
      <c r="AT90" s="21"/>
      <c r="AU90" s="25"/>
      <c r="AV90" s="21"/>
      <c r="AW90" s="22"/>
      <c r="AX90" s="2"/>
      <c r="AY90" s="20"/>
      <c r="AZ90" s="21"/>
      <c r="BA90" s="21"/>
      <c r="BB90" s="21"/>
      <c r="BC90" s="24"/>
      <c r="BR90" s="337"/>
      <c r="BS90" s="348"/>
      <c r="BT90" s="347" t="s">
        <v>107</v>
      </c>
      <c r="BU90" s="350" t="s">
        <v>104</v>
      </c>
      <c r="BV90" s="313">
        <f>AVERAGE(BV89,BV91)</f>
        <v>1187.9259521680287</v>
      </c>
      <c r="BW90" s="313">
        <f>AVERAGE(BW89,BW91)</f>
        <v>385.71699999999998</v>
      </c>
      <c r="BX90" s="313">
        <f>AVERAGE(BX89,BX91)</f>
        <v>162.68439319544407</v>
      </c>
      <c r="BY90" s="337"/>
      <c r="BZ90" s="337"/>
      <c r="CA90" s="337"/>
      <c r="CB90" s="337"/>
      <c r="CC90" s="337"/>
    </row>
    <row r="91" spans="1:84">
      <c r="A91" s="699"/>
      <c r="B91" s="23"/>
      <c r="C91" s="17" t="s">
        <v>14</v>
      </c>
      <c r="D91" s="57"/>
      <c r="E91" s="2"/>
      <c r="F91" s="2"/>
      <c r="G91" s="156"/>
      <c r="H91" s="3"/>
      <c r="I91" s="20"/>
      <c r="J91" s="21"/>
      <c r="K91" s="21"/>
      <c r="L91" s="22"/>
      <c r="M91" s="729"/>
      <c r="N91" s="20"/>
      <c r="O91" s="21"/>
      <c r="P91" s="21"/>
      <c r="Q91" s="22"/>
      <c r="R91" s="34"/>
      <c r="T91" s="57"/>
      <c r="U91" s="2"/>
      <c r="V91" s="2"/>
      <c r="W91" s="199"/>
      <c r="X91" s="198"/>
      <c r="Y91" s="198"/>
      <c r="Z91" s="198"/>
      <c r="AA91" s="282"/>
      <c r="AB91" s="21"/>
      <c r="AC91" s="21"/>
      <c r="AD91" s="21"/>
      <c r="AE91" s="21"/>
      <c r="AF91" s="70"/>
      <c r="AG91" s="20"/>
      <c r="AH91" s="21"/>
      <c r="AI91" s="21"/>
      <c r="AJ91" s="22">
        <f t="shared" si="18"/>
        <v>0</v>
      </c>
      <c r="AK91" s="29"/>
      <c r="AL91" s="19"/>
      <c r="AM91" s="57"/>
      <c r="AN91" s="2"/>
      <c r="AO91" s="2"/>
      <c r="AP91" s="64"/>
      <c r="AQ91" s="69"/>
      <c r="AR91" s="21"/>
      <c r="AS91" s="21"/>
      <c r="AT91" s="21"/>
      <c r="AU91" s="25"/>
      <c r="AV91" s="21"/>
      <c r="AW91" s="22"/>
      <c r="AX91" s="2"/>
      <c r="AY91" s="23"/>
      <c r="AZ91" s="19"/>
      <c r="BA91" s="19"/>
      <c r="BB91" s="21"/>
      <c r="BC91" s="24"/>
      <c r="BR91" s="337"/>
      <c r="BS91" s="337"/>
      <c r="BT91" s="337"/>
      <c r="BU91" s="351" t="s">
        <v>101</v>
      </c>
      <c r="BV91" s="341">
        <f>BH119</f>
        <v>1205.433583927771</v>
      </c>
      <c r="BW91" s="341">
        <f>BI119</f>
        <v>427.791</v>
      </c>
      <c r="BX91" s="341">
        <f>BJ119</f>
        <v>166.51095302697235</v>
      </c>
      <c r="BY91" s="337"/>
      <c r="BZ91" s="337"/>
      <c r="CA91" s="337"/>
      <c r="CB91" s="337"/>
      <c r="CC91" s="337"/>
    </row>
    <row r="92" spans="1:84">
      <c r="A92" s="699"/>
      <c r="B92" s="23"/>
      <c r="C92" s="17" t="s">
        <v>15</v>
      </c>
      <c r="D92" s="57"/>
      <c r="E92" s="2"/>
      <c r="F92" s="2"/>
      <c r="G92" s="156"/>
      <c r="H92" s="3"/>
      <c r="I92" s="20"/>
      <c r="J92" s="21"/>
      <c r="K92" s="21"/>
      <c r="L92" s="22"/>
      <c r="M92" s="729"/>
      <c r="N92" s="20"/>
      <c r="O92" s="21"/>
      <c r="P92" s="21"/>
      <c r="Q92" s="22"/>
      <c r="R92" s="34"/>
      <c r="T92" s="57"/>
      <c r="U92" s="2"/>
      <c r="V92" s="2"/>
      <c r="W92" s="199"/>
      <c r="X92" s="198"/>
      <c r="Y92" s="198"/>
      <c r="Z92" s="198"/>
      <c r="AA92" s="282"/>
      <c r="AB92" s="21"/>
      <c r="AC92" s="21"/>
      <c r="AD92" s="21"/>
      <c r="AE92" s="21"/>
      <c r="AF92" s="70"/>
      <c r="AG92" s="20"/>
      <c r="AH92" s="21"/>
      <c r="AI92" s="21"/>
      <c r="AJ92" s="22">
        <f t="shared" si="18"/>
        <v>0</v>
      </c>
      <c r="AK92" s="29"/>
      <c r="AL92" s="19"/>
      <c r="AM92" s="57"/>
      <c r="AN92" s="2"/>
      <c r="AO92" s="2"/>
      <c r="AP92" s="64"/>
      <c r="AQ92" s="69"/>
      <c r="AR92" s="21"/>
      <c r="AS92" s="21"/>
      <c r="AT92" s="21"/>
      <c r="AU92" s="25"/>
      <c r="AV92" s="21"/>
      <c r="AW92" s="22"/>
      <c r="AX92" s="2"/>
      <c r="AY92" s="23"/>
      <c r="AZ92" s="19"/>
      <c r="BA92" s="19"/>
      <c r="BB92" s="21"/>
      <c r="BC92" s="24"/>
      <c r="BR92" s="337"/>
      <c r="BS92" s="337"/>
      <c r="BT92" s="337"/>
      <c r="BU92" s="352" t="s">
        <v>102</v>
      </c>
      <c r="BV92" s="341">
        <f>BH72</f>
        <v>1601.0789484180268</v>
      </c>
      <c r="BW92" s="341">
        <f>BI72</f>
        <v>485.66300000000001</v>
      </c>
      <c r="BX92" s="341">
        <f>BJ72</f>
        <v>126.38495367513013</v>
      </c>
      <c r="BY92" s="337"/>
      <c r="BZ92" s="337"/>
      <c r="CA92" s="337"/>
      <c r="CB92" s="337"/>
      <c r="CC92" s="337"/>
    </row>
    <row r="93" spans="1:84" s="106" customFormat="1">
      <c r="A93" s="699"/>
      <c r="B93" s="107" t="s">
        <v>67</v>
      </c>
      <c r="C93" s="108"/>
      <c r="D93" s="109"/>
      <c r="E93" s="110"/>
      <c r="F93" s="110"/>
      <c r="G93" s="124"/>
      <c r="H93" s="125"/>
      <c r="I93" s="112">
        <f>D97*[2]WA!$F$387</f>
        <v>0</v>
      </c>
      <c r="J93" s="113">
        <f>E97*[2]WA!J$354</f>
        <v>4820.5907257878162</v>
      </c>
      <c r="K93" s="113">
        <f>F97*[2]WA!K$354</f>
        <v>6414.8232827196316</v>
      </c>
      <c r="L93" s="114">
        <f>SUM(I93:K93)</f>
        <v>11235.414008507447</v>
      </c>
      <c r="M93" s="110"/>
      <c r="N93" s="112">
        <f>I93-AU93</f>
        <v>0</v>
      </c>
      <c r="O93" s="113">
        <f>J93-AV93</f>
        <v>4820.5907257878162</v>
      </c>
      <c r="P93" s="113">
        <f>K93-AW93</f>
        <v>6414.8232827196316</v>
      </c>
      <c r="Q93" s="114">
        <f>SUM(N93:P93)</f>
        <v>11235.414008507447</v>
      </c>
      <c r="R93" s="115">
        <f>Q93/[2]Popn!$I$42*1000</f>
        <v>4.9334476781848418</v>
      </c>
      <c r="T93" s="109"/>
      <c r="U93" s="110"/>
      <c r="V93" s="110"/>
      <c r="W93" s="203"/>
      <c r="X93" s="130"/>
      <c r="Y93" s="130"/>
      <c r="Z93" s="130"/>
      <c r="AA93" s="284"/>
      <c r="AB93" s="113"/>
      <c r="AC93" s="113"/>
      <c r="AD93" s="113"/>
      <c r="AE93" s="113"/>
      <c r="AF93" s="117"/>
      <c r="AG93" s="112"/>
      <c r="AH93" s="113"/>
      <c r="AI93" s="113"/>
      <c r="AJ93" s="114">
        <f>SUM(AJ89:AJ92)</f>
        <v>0</v>
      </c>
      <c r="AK93" s="118">
        <f>SUM(AK89:AK92)</f>
        <v>0</v>
      </c>
      <c r="AL93" s="119"/>
      <c r="AM93" s="109"/>
      <c r="AN93" s="110"/>
      <c r="AO93" s="110"/>
      <c r="AP93" s="124"/>
      <c r="AQ93" s="126"/>
      <c r="AR93" s="113"/>
      <c r="AS93" s="113"/>
      <c r="AT93" s="113"/>
      <c r="AU93" s="120"/>
      <c r="AV93" s="113"/>
      <c r="AW93" s="114"/>
      <c r="AX93" s="110"/>
      <c r="AY93" s="127"/>
      <c r="AZ93" s="119"/>
      <c r="BA93" s="119"/>
      <c r="BB93" s="113"/>
      <c r="BC93" s="121"/>
      <c r="BG93" s="144"/>
      <c r="BR93" s="340"/>
      <c r="BS93" s="340"/>
      <c r="BT93" s="340"/>
      <c r="BU93" s="351" t="s">
        <v>103</v>
      </c>
      <c r="BV93" s="341">
        <f>BH25</f>
        <v>1170.1380565558513</v>
      </c>
      <c r="BW93" s="341">
        <f>BI25</f>
        <v>577.62123863020065</v>
      </c>
      <c r="BX93" s="341">
        <f>BJ25</f>
        <v>126.38495367513013</v>
      </c>
      <c r="BY93" s="337"/>
      <c r="BZ93" s="337"/>
      <c r="CA93" s="337"/>
      <c r="CB93" s="337"/>
      <c r="CC93" s="340"/>
    </row>
    <row r="94" spans="1:84" s="106" customFormat="1" ht="13.5" thickBot="1">
      <c r="A94" s="699"/>
      <c r="B94" s="131" t="s">
        <v>37</v>
      </c>
      <c r="C94" s="132" t="s">
        <v>1</v>
      </c>
      <c r="D94" s="109"/>
      <c r="E94" s="110"/>
      <c r="F94" s="110"/>
      <c r="G94" s="203"/>
      <c r="H94" s="130">
        <f>'[2]Fly ash'!$F$263</f>
        <v>326920.32753644825</v>
      </c>
      <c r="I94" s="112"/>
      <c r="J94" s="113"/>
      <c r="K94" s="113"/>
      <c r="L94" s="114"/>
      <c r="M94" s="110"/>
      <c r="N94" s="127"/>
      <c r="O94" s="119"/>
      <c r="P94" s="119"/>
      <c r="Q94" s="113">
        <f>H94</f>
        <v>326920.32753644825</v>
      </c>
      <c r="R94" s="115">
        <f>Q94/[2]Popn!$I$42*1000</f>
        <v>143.5500578452093</v>
      </c>
      <c r="T94" s="109"/>
      <c r="U94" s="110"/>
      <c r="V94" s="110"/>
      <c r="W94" s="203"/>
      <c r="X94" s="130"/>
      <c r="Y94" s="130"/>
      <c r="Z94" s="130"/>
      <c r="AA94" s="285">
        <f>'[2]Fly ash'!$F$255</f>
        <v>370939.74772354087</v>
      </c>
      <c r="AB94" s="113"/>
      <c r="AC94" s="113"/>
      <c r="AD94" s="113"/>
      <c r="AE94" s="113"/>
      <c r="AF94" s="117"/>
      <c r="AG94" s="112"/>
      <c r="AH94" s="113"/>
      <c r="AI94" s="113"/>
      <c r="AJ94" s="114">
        <f>AA94</f>
        <v>370939.74772354087</v>
      </c>
      <c r="AK94" s="115">
        <f>AJ94/[2]Popn!$I$42*1000</f>
        <v>162.8788966536961</v>
      </c>
      <c r="AL94" s="119"/>
      <c r="AM94" s="109"/>
      <c r="AN94" s="110"/>
      <c r="AO94" s="110"/>
      <c r="AP94" s="111"/>
      <c r="AQ94" s="117"/>
      <c r="AR94" s="113"/>
      <c r="AS94" s="113"/>
      <c r="AT94" s="113"/>
      <c r="AU94" s="120"/>
      <c r="AV94" s="113"/>
      <c r="AW94" s="114"/>
      <c r="AX94" s="110"/>
      <c r="AY94" s="127"/>
      <c r="AZ94" s="119"/>
      <c r="BA94" s="119"/>
      <c r="BB94" s="119"/>
      <c r="BC94" s="121"/>
      <c r="BG94" s="144"/>
      <c r="BR94" s="340"/>
      <c r="BS94" s="340"/>
      <c r="BT94" s="340"/>
      <c r="BU94" s="340"/>
      <c r="BV94" s="340"/>
      <c r="BW94" s="340"/>
      <c r="BX94" s="340"/>
      <c r="BY94" s="340"/>
      <c r="BZ94" s="340"/>
      <c r="CA94" s="340"/>
      <c r="CB94" s="340"/>
      <c r="CC94" s="340"/>
    </row>
    <row r="95" spans="1:84" ht="13.5" thickBot="1">
      <c r="B95" s="19"/>
      <c r="C95" s="38"/>
      <c r="D95" s="57"/>
      <c r="E95" s="2"/>
      <c r="F95" s="2"/>
      <c r="G95" s="63"/>
      <c r="H95" s="2"/>
      <c r="I95" s="20"/>
      <c r="J95" s="21"/>
      <c r="K95" s="21"/>
      <c r="L95" s="22"/>
      <c r="M95" s="2"/>
      <c r="N95" s="23"/>
      <c r="O95" s="19"/>
      <c r="P95" s="19"/>
      <c r="Q95" s="19"/>
      <c r="R95" s="24"/>
      <c r="T95" s="57"/>
      <c r="U95" s="2"/>
      <c r="V95" s="2"/>
      <c r="W95" s="63"/>
      <c r="X95" s="2"/>
      <c r="Y95" s="2"/>
      <c r="Z95" s="2"/>
      <c r="AA95" s="274"/>
      <c r="AB95" s="21"/>
      <c r="AC95" s="21"/>
      <c r="AD95" s="21"/>
      <c r="AE95" s="21"/>
      <c r="AF95" s="70"/>
      <c r="AG95" s="20"/>
      <c r="AH95" s="21"/>
      <c r="AI95" s="21"/>
      <c r="AJ95" s="22"/>
      <c r="AK95" s="29"/>
      <c r="AL95" s="19"/>
      <c r="AM95" s="57"/>
      <c r="AN95" s="2"/>
      <c r="AO95" s="2"/>
      <c r="AP95" s="63"/>
      <c r="AQ95" s="68"/>
      <c r="AR95" s="21"/>
      <c r="AS95" s="21"/>
      <c r="AT95" s="21"/>
      <c r="AU95" s="25"/>
      <c r="AV95" s="21"/>
      <c r="AW95" s="22"/>
      <c r="AX95" s="2"/>
      <c r="AY95" s="23"/>
      <c r="AZ95" s="19"/>
      <c r="BA95" s="19"/>
      <c r="BB95" s="19"/>
      <c r="BC95" s="24"/>
      <c r="BR95" s="337"/>
      <c r="BS95" s="337"/>
      <c r="BT95" s="337"/>
      <c r="BU95" s="340"/>
      <c r="BV95" s="340"/>
      <c r="BW95" s="340"/>
      <c r="BX95" s="340"/>
      <c r="BY95" s="340"/>
      <c r="BZ95" s="340"/>
      <c r="CA95" s="340"/>
      <c r="CB95" s="340"/>
      <c r="CC95" s="337"/>
    </row>
    <row r="96" spans="1:84" ht="13.5" thickBot="1">
      <c r="C96" s="39" t="s">
        <v>38</v>
      </c>
      <c r="D96" s="58"/>
      <c r="E96" s="59"/>
      <c r="F96" s="2"/>
      <c r="G96" s="208"/>
      <c r="H96" s="2"/>
      <c r="I96" s="20"/>
      <c r="J96" s="21"/>
      <c r="K96" s="21"/>
      <c r="L96" s="22"/>
      <c r="M96" s="2"/>
      <c r="N96" s="23"/>
      <c r="O96" s="19"/>
      <c r="P96" s="19"/>
      <c r="Q96" s="19"/>
      <c r="R96" s="24"/>
      <c r="T96" s="58"/>
      <c r="U96" s="59"/>
      <c r="V96" s="2"/>
      <c r="W96" s="208"/>
      <c r="X96" s="198"/>
      <c r="Y96" s="198"/>
      <c r="Z96" s="198"/>
      <c r="AA96" s="274"/>
      <c r="AB96" s="21"/>
      <c r="AC96" s="21"/>
      <c r="AD96" s="21"/>
      <c r="AE96" s="21"/>
      <c r="AF96" s="70"/>
      <c r="AG96" s="20"/>
      <c r="AH96" s="21"/>
      <c r="AI96" s="21"/>
      <c r="AJ96" s="22"/>
      <c r="AK96" s="40"/>
      <c r="AL96" s="19"/>
      <c r="AM96" s="58"/>
      <c r="AN96" s="59"/>
      <c r="AO96" s="2"/>
      <c r="AP96" s="65"/>
      <c r="AQ96" s="68"/>
      <c r="AR96" s="21"/>
      <c r="AS96" s="21"/>
      <c r="AT96" s="21"/>
      <c r="AU96" s="25"/>
      <c r="AV96" s="21"/>
      <c r="AW96" s="22"/>
      <c r="AX96" s="2"/>
      <c r="AY96" s="23"/>
      <c r="AZ96" s="19"/>
      <c r="BA96" s="19"/>
      <c r="BB96" s="19"/>
      <c r="BC96" s="24"/>
      <c r="BR96" s="337"/>
      <c r="BS96" s="337"/>
      <c r="BT96" s="337"/>
      <c r="BU96" s="337"/>
      <c r="BV96" s="337"/>
      <c r="BW96" s="337"/>
      <c r="BX96" s="337"/>
      <c r="BY96" s="337"/>
      <c r="BZ96" s="337"/>
      <c r="CA96" s="337"/>
      <c r="CB96" s="337"/>
      <c r="CC96" s="337"/>
    </row>
    <row r="97" spans="1:81" ht="13.5" thickBot="1">
      <c r="C97" s="135" t="s">
        <v>92</v>
      </c>
      <c r="D97" s="134">
        <f>[2]WA!L44</f>
        <v>1383182.640756218</v>
      </c>
      <c r="E97" s="134">
        <f>[2]WA!M44</f>
        <v>1447784.0813116082</v>
      </c>
      <c r="F97" s="134">
        <f>[2]WA!N44</f>
        <v>2259621.5013379897</v>
      </c>
      <c r="G97" s="66"/>
      <c r="H97" s="231"/>
      <c r="I97" s="41">
        <f>SUM(I93,I88,I85,I84,I74,I69,I63,I59)</f>
        <v>1383182.6407562178</v>
      </c>
      <c r="J97" s="218">
        <f>SUM(J93,J88,J85,J84,J74,J69,J63,J59)</f>
        <v>1447784.0813116073</v>
      </c>
      <c r="K97" s="218">
        <f>SUM(K93,K88,K85,K84,K74,K69,K63,K59)</f>
        <v>2259621.5013379902</v>
      </c>
      <c r="L97" s="42">
        <f>SUM(L93,L88,L85,L84,L74,L69,L63,L59)</f>
        <v>5090588.2234058157</v>
      </c>
      <c r="M97" s="43"/>
      <c r="N97" s="44">
        <f>SUM(N93,N88,N85,N84,N74,N69,N63,N59)</f>
        <v>1308869.3692724607</v>
      </c>
      <c r="O97" s="45">
        <f>SUM(O93,O88,O85,O84,O74,O69,O63,O59)</f>
        <v>1371219.566613816</v>
      </c>
      <c r="P97" s="45">
        <f>SUM(P93,P88,P85,P84,P74,P69,P63,P59)</f>
        <v>2251733.9733055476</v>
      </c>
      <c r="Q97" s="133">
        <f>SUM(Q93,Q88,Q85,Q84,Q74,Q69,Q63,Q59,Q96)</f>
        <v>4931822.9091918245</v>
      </c>
      <c r="R97" s="27">
        <f>SUM(R93,R88,R85,R84,R74,R69,R63,R59)</f>
        <v>2165.5535133950461</v>
      </c>
      <c r="T97" s="60"/>
      <c r="U97" s="134"/>
      <c r="V97" s="134"/>
      <c r="W97" s="66"/>
      <c r="X97" s="362"/>
      <c r="Y97" s="362"/>
      <c r="Z97" s="362"/>
      <c r="AA97" s="287"/>
      <c r="AB97" s="45"/>
      <c r="AC97" s="45"/>
      <c r="AD97" s="45"/>
      <c r="AE97" s="45"/>
      <c r="AF97" s="85"/>
      <c r="AG97" s="44">
        <f>$AJ97*[2]WA!J$112</f>
        <v>399943.52999999997</v>
      </c>
      <c r="AH97" s="45">
        <f>$AJ97*[2]WA!K$112</f>
        <v>571347.9</v>
      </c>
      <c r="AI97" s="45">
        <f>$AJ97*[2]WA!L$112</f>
        <v>933201.57</v>
      </c>
      <c r="AJ97" s="354">
        <f>SUM(AJ93,AJ88,AJ85,AJ84,AJ74,AJ69,AJ63,AJ59,AJ96)</f>
        <v>1904493</v>
      </c>
      <c r="AK97" s="27">
        <f>SUM(AK93,AK88,AK85,AK84,AK74,AK69,AK63,AK59,AK96)</f>
        <v>830.13889547535871</v>
      </c>
      <c r="AL97" s="19"/>
      <c r="AM97" s="60"/>
      <c r="AN97" s="706"/>
      <c r="AO97" s="707"/>
      <c r="AP97" s="66"/>
      <c r="AQ97" s="71"/>
      <c r="AR97" s="45">
        <f>SUM(AR54:AR96)</f>
        <v>294554.51439649274</v>
      </c>
      <c r="AS97" s="46">
        <f>SUM(AS54:AS96)</f>
        <v>1</v>
      </c>
      <c r="AT97" s="45">
        <f>SUM(AT54:AT96)</f>
        <v>285150.26788912114</v>
      </c>
      <c r="AU97" s="47"/>
      <c r="AV97" s="45"/>
      <c r="AW97" s="214"/>
      <c r="AX97" s="43"/>
      <c r="AY97" s="44">
        <f>SUM(AY93,AY88,AY85,AY84,AY74,AY69,AY63,AY59)</f>
        <v>74313.271483757053</v>
      </c>
      <c r="AZ97" s="45">
        <f>SUM(AZ93,AZ88,AZ85,AZ84,AZ74,AZ69,AZ63,AZ59)</f>
        <v>76564.514697791412</v>
      </c>
      <c r="BA97" s="45">
        <f>SUM(BA93,BA88,BA85,BA84,BA74,BA69,BA63,BA59)</f>
        <v>7887.5280324425321</v>
      </c>
      <c r="BB97" s="354">
        <f>SUM(BB93,BB88,BB85,BB84,BB74,BB69,BB63,BB59,BB96)</f>
        <v>158765.31421399099</v>
      </c>
      <c r="BC97" s="27">
        <f>SUM(BC93,BC88,BC85,BC84,BC74,BC69,BC63,BC59,BC96)</f>
        <v>69.713529932427647</v>
      </c>
      <c r="BR97" s="337"/>
      <c r="BS97" s="337"/>
      <c r="BT97" s="337"/>
      <c r="BU97" s="337"/>
      <c r="BV97" s="337"/>
      <c r="BW97" s="337"/>
      <c r="BX97" s="337"/>
      <c r="BY97" s="337"/>
      <c r="BZ97" s="337"/>
      <c r="CA97" s="337"/>
      <c r="CB97" s="337"/>
      <c r="CC97" s="337"/>
    </row>
    <row r="98" spans="1:81" ht="13.5" thickBot="1">
      <c r="C98" s="136" t="s">
        <v>65</v>
      </c>
      <c r="Q98" s="49">
        <f>Q97+Q94</f>
        <v>5258743.2367282724</v>
      </c>
      <c r="R98" s="216">
        <f>R97+R94</f>
        <v>2309.1035712402554</v>
      </c>
      <c r="AG98" s="217"/>
      <c r="AJ98" s="353">
        <f>AJ97+AJ94</f>
        <v>2275432.7477235408</v>
      </c>
      <c r="AK98" s="216">
        <f>AK97+AK94</f>
        <v>993.01779212905478</v>
      </c>
      <c r="BB98" s="353">
        <f>BB97+BB94</f>
        <v>158765.31421399099</v>
      </c>
      <c r="BC98" s="216">
        <f>BC97+BC94</f>
        <v>69.713529932427647</v>
      </c>
      <c r="BR98" s="337"/>
      <c r="BS98" s="337"/>
      <c r="BT98" s="337"/>
      <c r="BU98" s="337"/>
      <c r="BV98" s="337"/>
      <c r="BW98" s="337"/>
      <c r="BX98" s="337"/>
      <c r="BY98" s="337"/>
      <c r="BZ98" s="337"/>
      <c r="CA98" s="337"/>
      <c r="CB98" s="337"/>
      <c r="CC98" s="337"/>
    </row>
    <row r="99" spans="1:81">
      <c r="BR99" s="337"/>
      <c r="BS99" s="337"/>
      <c r="BT99" s="337"/>
      <c r="BU99" s="337"/>
      <c r="BV99" s="337"/>
      <c r="BW99" s="337"/>
      <c r="BX99" s="337"/>
      <c r="BY99" s="337"/>
      <c r="BZ99" s="337"/>
      <c r="CA99" s="337"/>
      <c r="CB99" s="337"/>
      <c r="CC99" s="337"/>
    </row>
    <row r="100" spans="1:81" ht="13.5" thickBot="1">
      <c r="C100" s="89"/>
      <c r="V100" s="215"/>
      <c r="W100" s="215"/>
      <c r="AT100" s="215"/>
      <c r="AU100" s="215"/>
      <c r="AV100" s="215"/>
      <c r="AW100" s="215"/>
      <c r="BR100" s="337"/>
      <c r="BS100" s="337"/>
      <c r="BT100" s="337"/>
      <c r="BU100" s="337"/>
      <c r="BV100" s="337"/>
      <c r="BW100" s="337"/>
      <c r="BX100" s="337"/>
      <c r="BY100" s="337"/>
      <c r="BZ100" s="337"/>
      <c r="CA100" s="337"/>
      <c r="CB100" s="337"/>
      <c r="CC100" s="337"/>
    </row>
    <row r="101" spans="1:81">
      <c r="A101" s="699" t="s">
        <v>82</v>
      </c>
      <c r="B101" s="16" t="s">
        <v>3</v>
      </c>
      <c r="C101" s="148" t="s">
        <v>16</v>
      </c>
      <c r="D101" s="55"/>
      <c r="E101" s="56"/>
      <c r="F101" s="56"/>
      <c r="G101" s="149"/>
      <c r="H101" s="150"/>
      <c r="I101" s="151"/>
      <c r="J101" s="26"/>
      <c r="K101" s="26"/>
      <c r="L101" s="133"/>
      <c r="M101" s="56"/>
      <c r="N101" s="16"/>
      <c r="O101" s="18"/>
      <c r="P101" s="18"/>
      <c r="Q101" s="18"/>
      <c r="R101" s="28"/>
      <c r="S101" s="152"/>
      <c r="T101" s="55"/>
      <c r="U101" s="56"/>
      <c r="V101" s="252"/>
      <c r="W101" s="199">
        <f>[2]WA!U62</f>
        <v>24896</v>
      </c>
      <c r="X101" s="197"/>
      <c r="Y101" s="197"/>
      <c r="Z101" s="197"/>
      <c r="AA101" s="290"/>
      <c r="AB101" s="26"/>
      <c r="AC101" s="26"/>
      <c r="AD101" s="26"/>
      <c r="AE101" s="26"/>
      <c r="AF101" s="84"/>
      <c r="AG101" s="151"/>
      <c r="AH101" s="26"/>
      <c r="AI101" s="26"/>
      <c r="AJ101" s="133">
        <f>W101</f>
        <v>24896</v>
      </c>
      <c r="AK101" s="27">
        <f>AJ101/[2]Popn!$I$41*1000</f>
        <v>11.194907791862221</v>
      </c>
      <c r="AL101" s="18"/>
      <c r="AM101" s="55"/>
      <c r="AN101" s="56"/>
      <c r="AO101" s="56"/>
      <c r="AP101" s="149"/>
      <c r="AQ101" s="153"/>
      <c r="AR101" s="26"/>
      <c r="AS101" s="26"/>
      <c r="AT101" s="21"/>
      <c r="AU101" s="25"/>
      <c r="AV101" s="21"/>
      <c r="AW101" s="22"/>
      <c r="AX101" s="56"/>
      <c r="AY101" s="16"/>
      <c r="AZ101" s="18"/>
      <c r="BA101" s="18"/>
      <c r="BB101" s="244"/>
      <c r="BC101" s="28"/>
      <c r="BD101" s="8"/>
      <c r="BH101" s="700" t="s">
        <v>86</v>
      </c>
      <c r="BI101" s="701"/>
      <c r="BJ101" s="701"/>
      <c r="BK101" s="701"/>
      <c r="BL101" s="702"/>
      <c r="BM101" s="700" t="s">
        <v>87</v>
      </c>
      <c r="BN101" s="702"/>
      <c r="BP101" s="8"/>
      <c r="BQ101" s="8"/>
      <c r="BR101" s="342"/>
      <c r="BS101" s="342"/>
      <c r="BT101" s="342"/>
      <c r="BU101" s="337"/>
      <c r="BV101" s="337"/>
      <c r="BW101" s="337"/>
      <c r="BX101" s="337"/>
      <c r="BY101" s="337"/>
      <c r="BZ101" s="337"/>
      <c r="CA101" s="337"/>
      <c r="CB101" s="337"/>
      <c r="CC101" s="337"/>
    </row>
    <row r="102" spans="1:81">
      <c r="A102" s="699"/>
      <c r="B102" s="23"/>
      <c r="C102" s="17" t="s">
        <v>17</v>
      </c>
      <c r="D102" s="57"/>
      <c r="E102" s="2"/>
      <c r="F102" s="2"/>
      <c r="G102" s="63"/>
      <c r="H102" s="5"/>
      <c r="I102" s="20"/>
      <c r="J102" s="21"/>
      <c r="K102" s="21"/>
      <c r="L102" s="22"/>
      <c r="M102" s="2"/>
      <c r="N102" s="23"/>
      <c r="O102" s="19"/>
      <c r="P102" s="19"/>
      <c r="Q102" s="19"/>
      <c r="R102" s="24"/>
      <c r="T102" s="57"/>
      <c r="U102" s="2"/>
      <c r="V102" s="252"/>
      <c r="W102" s="199">
        <f>[2]WA!U63</f>
        <v>15684</v>
      </c>
      <c r="X102" s="198"/>
      <c r="Y102" s="198"/>
      <c r="Z102" s="198"/>
      <c r="AA102" s="272"/>
      <c r="AB102" s="21"/>
      <c r="AC102" s="21"/>
      <c r="AD102" s="21"/>
      <c r="AE102" s="21"/>
      <c r="AF102" s="70"/>
      <c r="AG102" s="20"/>
      <c r="AH102" s="21"/>
      <c r="AI102" s="21"/>
      <c r="AJ102" s="22">
        <f>W102</f>
        <v>15684</v>
      </c>
      <c r="AK102" s="29">
        <f>AJ102/[2]Popn!$I$41*1000</f>
        <v>7.0525760687486772</v>
      </c>
      <c r="AL102" s="19"/>
      <c r="AM102" s="57"/>
      <c r="AN102" s="2"/>
      <c r="AO102" s="2"/>
      <c r="AP102" s="63"/>
      <c r="AQ102" s="67"/>
      <c r="AR102" s="21"/>
      <c r="AS102" s="21"/>
      <c r="AT102" s="21"/>
      <c r="AU102" s="25"/>
      <c r="AV102" s="21"/>
      <c r="AW102" s="22"/>
      <c r="AX102" s="2"/>
      <c r="AY102" s="23"/>
      <c r="AZ102" s="19"/>
      <c r="BA102" s="19"/>
      <c r="BB102" s="19"/>
      <c r="BC102" s="24"/>
      <c r="BD102" s="8"/>
      <c r="BH102" s="703" t="s">
        <v>79</v>
      </c>
      <c r="BI102" s="704"/>
      <c r="BJ102" s="704"/>
      <c r="BK102" s="705"/>
      <c r="BL102" s="75" t="s">
        <v>74</v>
      </c>
      <c r="BM102" s="72" t="s">
        <v>79</v>
      </c>
      <c r="BN102" s="73" t="s">
        <v>74</v>
      </c>
      <c r="BP102" s="7"/>
      <c r="BQ102" s="7"/>
      <c r="BR102" s="343"/>
      <c r="BS102" s="343"/>
      <c r="BT102" s="343"/>
      <c r="BU102" s="342"/>
      <c r="BV102" s="337"/>
      <c r="BW102" s="337"/>
      <c r="BX102" s="337"/>
      <c r="BY102" s="337"/>
      <c r="BZ102" s="337"/>
      <c r="CA102" s="337"/>
      <c r="CB102" s="337"/>
      <c r="CC102" s="337"/>
    </row>
    <row r="103" spans="1:81">
      <c r="A103" s="699"/>
      <c r="B103" s="23"/>
      <c r="C103" s="17" t="s">
        <v>18</v>
      </c>
      <c r="D103" s="57"/>
      <c r="E103" s="2"/>
      <c r="F103" s="2"/>
      <c r="G103" s="63"/>
      <c r="H103" s="5"/>
      <c r="I103" s="20"/>
      <c r="J103" s="21"/>
      <c r="K103" s="21"/>
      <c r="L103" s="22"/>
      <c r="M103" s="2"/>
      <c r="N103" s="23"/>
      <c r="O103" s="19"/>
      <c r="P103" s="19"/>
      <c r="Q103" s="19"/>
      <c r="R103" s="24"/>
      <c r="T103" s="57"/>
      <c r="U103" s="2"/>
      <c r="V103" s="252"/>
      <c r="W103" s="199">
        <f>[2]WA!U64</f>
        <v>199035</v>
      </c>
      <c r="X103" s="198"/>
      <c r="Y103" s="198"/>
      <c r="Z103" s="198"/>
      <c r="AA103" s="272"/>
      <c r="AB103" s="21"/>
      <c r="AC103" s="21"/>
      <c r="AD103" s="21"/>
      <c r="AE103" s="21"/>
      <c r="AF103" s="70"/>
      <c r="AG103" s="20"/>
      <c r="AH103" s="21"/>
      <c r="AI103" s="21"/>
      <c r="AJ103" s="22">
        <f>W103</f>
        <v>199035</v>
      </c>
      <c r="AK103" s="29">
        <f>AJ103/[2]Popn!$I$41*1000</f>
        <v>89.499456633728187</v>
      </c>
      <c r="AL103" s="19"/>
      <c r="AM103" s="57"/>
      <c r="AN103" s="2"/>
      <c r="AO103" s="2"/>
      <c r="AP103" s="63"/>
      <c r="AQ103" s="67"/>
      <c r="AR103" s="21"/>
      <c r="AS103" s="21"/>
      <c r="AT103" s="21"/>
      <c r="AU103" s="25"/>
      <c r="AV103" s="21"/>
      <c r="AW103" s="22"/>
      <c r="AX103" s="2"/>
      <c r="AY103" s="23"/>
      <c r="AZ103" s="19"/>
      <c r="BA103" s="19"/>
      <c r="BB103" s="19"/>
      <c r="BC103" s="24"/>
      <c r="BD103" s="30"/>
      <c r="BG103" s="141"/>
      <c r="BH103" s="78" t="s">
        <v>44</v>
      </c>
      <c r="BI103" s="79" t="s">
        <v>45</v>
      </c>
      <c r="BJ103" s="79" t="s">
        <v>46</v>
      </c>
      <c r="BK103" s="80" t="s">
        <v>80</v>
      </c>
      <c r="BL103" s="80" t="s">
        <v>80</v>
      </c>
      <c r="BM103" s="78" t="s">
        <v>80</v>
      </c>
      <c r="BN103" s="80" t="s">
        <v>80</v>
      </c>
      <c r="BP103" s="30"/>
      <c r="BQ103" s="30"/>
      <c r="BR103" s="344"/>
      <c r="BS103" s="345"/>
      <c r="BT103" s="345"/>
      <c r="BU103" s="343"/>
      <c r="BV103" s="337"/>
      <c r="BW103" s="337"/>
      <c r="BX103" s="337"/>
      <c r="BY103" s="337"/>
      <c r="BZ103" s="337"/>
      <c r="CA103" s="337"/>
      <c r="CB103" s="337"/>
      <c r="CC103" s="337"/>
    </row>
    <row r="104" spans="1:81">
      <c r="A104" s="699"/>
      <c r="B104" s="23"/>
      <c r="C104" s="17" t="s">
        <v>182</v>
      </c>
      <c r="D104" s="57"/>
      <c r="E104" s="2"/>
      <c r="F104" s="2"/>
      <c r="G104" s="63"/>
      <c r="H104" s="2"/>
      <c r="I104" s="20"/>
      <c r="J104" s="21"/>
      <c r="K104" s="21"/>
      <c r="L104" s="22"/>
      <c r="M104" s="2"/>
      <c r="N104" s="23"/>
      <c r="O104" s="19"/>
      <c r="P104" s="19"/>
      <c r="Q104" s="19"/>
      <c r="R104" s="24"/>
      <c r="T104" s="57"/>
      <c r="U104" s="2"/>
      <c r="V104" s="252"/>
      <c r="W104" s="199">
        <f>[2]WA!U65</f>
        <v>180925</v>
      </c>
      <c r="X104" s="198"/>
      <c r="Y104" s="198"/>
      <c r="Z104" s="198"/>
      <c r="AA104" s="274"/>
      <c r="AB104" s="21"/>
      <c r="AC104" s="21"/>
      <c r="AD104" s="21"/>
      <c r="AE104" s="21"/>
      <c r="AF104" s="70"/>
      <c r="AG104" s="20"/>
      <c r="AH104" s="21"/>
      <c r="AI104" s="21"/>
      <c r="AJ104" s="22">
        <f>W104</f>
        <v>180925</v>
      </c>
      <c r="AK104" s="29">
        <f>AJ104/[2]Popn!$I$41*1000</f>
        <v>81.355988602292427</v>
      </c>
      <c r="AL104" s="19"/>
      <c r="AM104" s="57"/>
      <c r="AN104" s="2"/>
      <c r="AO104" s="2"/>
      <c r="AP104" s="63"/>
      <c r="AQ104" s="68"/>
      <c r="AR104" s="21"/>
      <c r="AS104" s="21"/>
      <c r="AT104" s="21"/>
      <c r="AU104" s="25"/>
      <c r="AV104" s="21"/>
      <c r="AW104" s="22"/>
      <c r="AX104" s="2"/>
      <c r="AY104" s="23"/>
      <c r="AZ104" s="19"/>
      <c r="BA104" s="19"/>
      <c r="BB104" s="19"/>
      <c r="BC104" s="24"/>
      <c r="BD104" s="30"/>
      <c r="BG104" s="145" t="s">
        <v>72</v>
      </c>
      <c r="BH104" s="52">
        <f>N144/1000</f>
        <v>1000.9025718938469</v>
      </c>
      <c r="BI104" s="52">
        <f>O144/1000</f>
        <v>1049.9678744655589</v>
      </c>
      <c r="BJ104" s="52">
        <f>P144/1000</f>
        <v>1784.2408573930325</v>
      </c>
      <c r="BK104" s="53">
        <f>Q144/1000</f>
        <v>3835.1113037524383</v>
      </c>
      <c r="BL104" s="54">
        <f>R144/1000</f>
        <v>1.7245227111599071</v>
      </c>
      <c r="BM104" s="51">
        <f>Q145/1000</f>
        <v>4196.0305323620642</v>
      </c>
      <c r="BN104" s="54">
        <f>R145/1000</f>
        <v>1.8868161512544925</v>
      </c>
      <c r="BP104" s="30"/>
      <c r="BQ104" s="30"/>
      <c r="BR104" s="344"/>
      <c r="BS104" s="345"/>
      <c r="BT104" s="345"/>
      <c r="BU104" s="346"/>
      <c r="BV104" s="337"/>
      <c r="BW104" s="337"/>
      <c r="BX104" s="337"/>
      <c r="BY104" s="337"/>
      <c r="BZ104" s="337"/>
      <c r="CA104" s="337"/>
      <c r="CB104" s="337"/>
      <c r="CC104" s="337"/>
    </row>
    <row r="105" spans="1:81">
      <c r="A105" s="699"/>
      <c r="B105" s="23"/>
      <c r="C105" s="17" t="s">
        <v>183</v>
      </c>
      <c r="D105" s="57"/>
      <c r="E105" s="2"/>
      <c r="F105" s="2"/>
      <c r="G105" s="63"/>
      <c r="H105" s="2"/>
      <c r="I105" s="20"/>
      <c r="J105" s="21"/>
      <c r="K105" s="21"/>
      <c r="L105" s="22"/>
      <c r="M105" s="2"/>
      <c r="N105" s="23"/>
      <c r="O105" s="19"/>
      <c r="P105" s="19"/>
      <c r="Q105" s="19"/>
      <c r="R105" s="33"/>
      <c r="T105" s="57"/>
      <c r="U105" s="2"/>
      <c r="V105" s="252"/>
      <c r="W105" s="199"/>
      <c r="X105" s="198"/>
      <c r="Y105" s="198"/>
      <c r="Z105" s="198"/>
      <c r="AA105" s="274"/>
      <c r="AB105" s="21"/>
      <c r="AC105" s="21"/>
      <c r="AD105" s="21"/>
      <c r="AE105" s="21"/>
      <c r="AF105" s="70"/>
      <c r="AG105" s="20"/>
      <c r="AH105" s="21"/>
      <c r="AI105" s="21"/>
      <c r="AJ105" s="22">
        <f>W105</f>
        <v>0</v>
      </c>
      <c r="AK105" s="29">
        <f>AJ105/[2]Popn!$I$41*1000</f>
        <v>0</v>
      </c>
      <c r="AL105" s="19"/>
      <c r="AM105" s="57"/>
      <c r="AN105" s="2"/>
      <c r="AO105" s="2"/>
      <c r="AP105" s="63"/>
      <c r="AQ105" s="68"/>
      <c r="AR105" s="21"/>
      <c r="AS105" s="21"/>
      <c r="AT105" s="21"/>
      <c r="AU105" s="25"/>
      <c r="AV105" s="21"/>
      <c r="AW105" s="22"/>
      <c r="AX105" s="2"/>
      <c r="AY105" s="23"/>
      <c r="AZ105" s="19"/>
      <c r="BA105" s="19"/>
      <c r="BB105" s="19"/>
      <c r="BC105" s="24"/>
      <c r="BD105" s="30"/>
      <c r="BG105" s="77" t="s">
        <v>68</v>
      </c>
      <c r="BH105" s="52">
        <f>AG144/1000</f>
        <v>484.85517599999997</v>
      </c>
      <c r="BI105" s="52">
        <f>AH144/1000</f>
        <v>380.735635</v>
      </c>
      <c r="BJ105" s="52">
        <f>AI144/1000</f>
        <v>688.43218899999999</v>
      </c>
      <c r="BK105" s="53">
        <f>AJ144/1000</f>
        <v>1554.0229999999999</v>
      </c>
      <c r="BL105" s="54">
        <f>AK144/1000</f>
        <v>0.69006111310775708</v>
      </c>
      <c r="BM105" s="51">
        <f>AJ145/1000</f>
        <v>1824.6945000000001</v>
      </c>
      <c r="BN105" s="54">
        <f>AK145/1000</f>
        <v>0.81177313449211752</v>
      </c>
      <c r="BR105" s="337"/>
      <c r="BS105" s="337"/>
      <c r="BT105" s="337"/>
      <c r="BU105" s="346"/>
      <c r="BV105" s="337"/>
      <c r="BW105" s="337"/>
      <c r="BX105" s="337"/>
      <c r="BY105" s="337"/>
      <c r="BZ105" s="337"/>
      <c r="CA105" s="337"/>
      <c r="CB105" s="337"/>
      <c r="CC105" s="337"/>
    </row>
    <row r="106" spans="1:81" s="106" customFormat="1">
      <c r="A106" s="699"/>
      <c r="B106" s="107" t="s">
        <v>67</v>
      </c>
      <c r="C106" s="108"/>
      <c r="D106" s="109"/>
      <c r="E106" s="110"/>
      <c r="F106" s="110"/>
      <c r="G106" s="111"/>
      <c r="H106" s="110"/>
      <c r="I106" s="112">
        <f>D144*[2]WA!$F$380</f>
        <v>76896.24690320481</v>
      </c>
      <c r="J106" s="113">
        <f>E144*[2]WA!J$347</f>
        <v>63808.213330590756</v>
      </c>
      <c r="K106" s="113">
        <f>F144*[2]WA!K$347</f>
        <v>1666197.2910406026</v>
      </c>
      <c r="L106" s="114">
        <f>SUM(I106:K106)</f>
        <v>1806901.7512743981</v>
      </c>
      <c r="M106" s="110"/>
      <c r="N106" s="112">
        <f>I106-AU106</f>
        <v>76896.24690320481</v>
      </c>
      <c r="O106" s="113">
        <f>J106-AV106</f>
        <v>63808.213330590756</v>
      </c>
      <c r="P106" s="113">
        <f>K106-AW106</f>
        <v>1666197.2910406026</v>
      </c>
      <c r="Q106" s="114">
        <f>SUM(N106:P106)</f>
        <v>1806901.7512743981</v>
      </c>
      <c r="R106" s="115">
        <f>Q106/[2]Popn!$I$41*1000</f>
        <v>812.50395623679503</v>
      </c>
      <c r="T106" s="109"/>
      <c r="U106" s="110"/>
      <c r="V106" s="253"/>
      <c r="W106" s="203"/>
      <c r="X106" s="130"/>
      <c r="Y106" s="130"/>
      <c r="Z106" s="130"/>
      <c r="AA106" s="276"/>
      <c r="AB106" s="113"/>
      <c r="AC106" s="113"/>
      <c r="AD106" s="113"/>
      <c r="AE106" s="113"/>
      <c r="AF106" s="117"/>
      <c r="AG106" s="112"/>
      <c r="AH106" s="113"/>
      <c r="AI106" s="113"/>
      <c r="AJ106" s="114">
        <f>SUM(AJ101:AJ105)</f>
        <v>420540</v>
      </c>
      <c r="AK106" s="118">
        <f>SUM(AK101:AK105)</f>
        <v>189.1029290966315</v>
      </c>
      <c r="AL106" s="119"/>
      <c r="AM106" s="109"/>
      <c r="AN106" s="110"/>
      <c r="AO106" s="110"/>
      <c r="AP106" s="111"/>
      <c r="AQ106" s="116"/>
      <c r="AR106" s="113"/>
      <c r="AS106" s="113"/>
      <c r="AT106" s="113"/>
      <c r="AU106" s="120"/>
      <c r="AV106" s="113"/>
      <c r="AW106" s="114"/>
      <c r="AX106" s="110"/>
      <c r="AY106" s="112"/>
      <c r="AZ106" s="113"/>
      <c r="BA106" s="113"/>
      <c r="BB106" s="113"/>
      <c r="BC106" s="121"/>
      <c r="BD106" s="122"/>
      <c r="BG106" s="77" t="s">
        <v>69</v>
      </c>
      <c r="BH106" s="52">
        <f>AY144/1000</f>
        <v>97.615241009078844</v>
      </c>
      <c r="BI106" s="52">
        <f>AZ144/1000</f>
        <v>99.856129751686709</v>
      </c>
      <c r="BJ106" s="52">
        <f>BA144/1000</f>
        <v>10.340997886136815</v>
      </c>
      <c r="BK106" s="53">
        <f>BB144/1000</f>
        <v>207.81236864690237</v>
      </c>
      <c r="BL106" s="54">
        <f>BC144/1000</f>
        <v>9.3446349012313273E-2</v>
      </c>
      <c r="BM106" s="51">
        <f>BB145/1000</f>
        <v>207.81236864690237</v>
      </c>
      <c r="BN106" s="54">
        <f>BC145/1000</f>
        <v>9.3446349012313273E-2</v>
      </c>
      <c r="BO106" s="6"/>
      <c r="BR106" s="340"/>
      <c r="BS106" s="340"/>
      <c r="BT106" s="340"/>
      <c r="BU106" s="337"/>
      <c r="BV106" s="337"/>
      <c r="BW106" s="337"/>
      <c r="BX106" s="337"/>
      <c r="BY106" s="337"/>
      <c r="BZ106" s="337"/>
      <c r="CA106" s="337"/>
      <c r="CB106" s="337"/>
      <c r="CC106" s="340"/>
    </row>
    <row r="107" spans="1:81">
      <c r="A107" s="699"/>
      <c r="B107" s="23" t="s">
        <v>4</v>
      </c>
      <c r="C107" s="17" t="s">
        <v>19</v>
      </c>
      <c r="D107" s="57"/>
      <c r="E107" s="2"/>
      <c r="F107" s="2"/>
      <c r="G107" s="63"/>
      <c r="H107" s="2"/>
      <c r="I107" s="20"/>
      <c r="J107" s="21"/>
      <c r="K107" s="21"/>
      <c r="L107" s="22"/>
      <c r="M107" s="2"/>
      <c r="N107" s="23"/>
      <c r="O107" s="19"/>
      <c r="P107" s="19"/>
      <c r="Q107" s="19"/>
      <c r="R107" s="33"/>
      <c r="T107" s="57"/>
      <c r="U107" s="2"/>
      <c r="V107" s="252"/>
      <c r="W107" s="199">
        <f>[2]WA!U68</f>
        <v>345144</v>
      </c>
      <c r="X107" s="198"/>
      <c r="Y107" s="198"/>
      <c r="Z107" s="198"/>
      <c r="AA107" s="274"/>
      <c r="AB107" s="21"/>
      <c r="AC107" s="21"/>
      <c r="AD107" s="21"/>
      <c r="AE107" s="21"/>
      <c r="AF107" s="70"/>
      <c r="AG107" s="20"/>
      <c r="AH107" s="21"/>
      <c r="AI107" s="21"/>
      <c r="AJ107" s="22">
        <f>W107</f>
        <v>345144</v>
      </c>
      <c r="AK107" s="29">
        <f>AJ107/[2]Popn!$I$41*1000</f>
        <v>155.19984153737525</v>
      </c>
      <c r="AL107" s="19"/>
      <c r="AM107" s="57"/>
      <c r="AN107" s="2"/>
      <c r="AO107" s="2"/>
      <c r="AP107" s="63"/>
      <c r="AQ107" s="68"/>
      <c r="AR107" s="21"/>
      <c r="AS107" s="21"/>
      <c r="AT107" s="21"/>
      <c r="AU107" s="25"/>
      <c r="AV107" s="21"/>
      <c r="AW107" s="22"/>
      <c r="AX107" s="2"/>
      <c r="AY107" s="23"/>
      <c r="AZ107" s="19"/>
      <c r="BA107" s="19"/>
      <c r="BB107" s="19"/>
      <c r="BC107" s="24"/>
      <c r="BD107" s="30"/>
      <c r="BG107" s="145" t="s">
        <v>73</v>
      </c>
      <c r="BH107" s="86">
        <f t="shared" ref="BH107:BN107" si="19">SUM(BH105:BH106)/BH108</f>
        <v>0.36786683939370218</v>
      </c>
      <c r="BI107" s="86">
        <f t="shared" si="19"/>
        <v>0.31399741142884807</v>
      </c>
      <c r="BJ107" s="86">
        <f t="shared" si="19"/>
        <v>0.28142135905195576</v>
      </c>
      <c r="BK107" s="87">
        <f t="shared" si="19"/>
        <v>0.31478509118823272</v>
      </c>
      <c r="BL107" s="87">
        <f t="shared" si="19"/>
        <v>0.31239953588572933</v>
      </c>
      <c r="BM107" s="88">
        <f t="shared" si="19"/>
        <v>0.32632169284520224</v>
      </c>
      <c r="BN107" s="87">
        <f t="shared" si="19"/>
        <v>0.32421487470828481</v>
      </c>
      <c r="BR107" s="337"/>
      <c r="BS107" s="337"/>
      <c r="BT107" s="337"/>
      <c r="BU107" s="340"/>
      <c r="BV107" s="340"/>
      <c r="BW107" s="340"/>
      <c r="BX107" s="340"/>
      <c r="BY107" s="340"/>
      <c r="BZ107" s="340"/>
      <c r="CA107" s="340"/>
      <c r="CB107" s="340"/>
      <c r="CC107" s="337"/>
    </row>
    <row r="108" spans="1:81">
      <c r="A108" s="699"/>
      <c r="B108" s="23"/>
      <c r="C108" s="17" t="s">
        <v>20</v>
      </c>
      <c r="D108" s="57"/>
      <c r="E108" s="2"/>
      <c r="F108" s="2"/>
      <c r="G108" s="63"/>
      <c r="H108" s="2"/>
      <c r="I108" s="20"/>
      <c r="J108" s="21"/>
      <c r="K108" s="21"/>
      <c r="L108" s="22"/>
      <c r="M108" s="2"/>
      <c r="N108" s="23"/>
      <c r="O108" s="19"/>
      <c r="P108" s="19"/>
      <c r="Q108" s="19"/>
      <c r="R108" s="33"/>
      <c r="T108" s="57"/>
      <c r="U108" s="2"/>
      <c r="V108" s="252"/>
      <c r="W108" s="199">
        <f>[2]WA!U69</f>
        <v>17419</v>
      </c>
      <c r="X108" s="198"/>
      <c r="Y108" s="198"/>
      <c r="Z108" s="198"/>
      <c r="AA108" s="274"/>
      <c r="AB108" s="21"/>
      <c r="AC108" s="21"/>
      <c r="AD108" s="21"/>
      <c r="AE108" s="21"/>
      <c r="AF108" s="70"/>
      <c r="AG108" s="20"/>
      <c r="AH108" s="21"/>
      <c r="AI108" s="21"/>
      <c r="AJ108" s="22">
        <f>W108</f>
        <v>17419</v>
      </c>
      <c r="AK108" s="29">
        <f>AJ108/[2]Popn!$I$41*1000</f>
        <v>7.832748185509641</v>
      </c>
      <c r="AL108" s="19"/>
      <c r="AM108" s="57"/>
      <c r="AN108" s="2"/>
      <c r="AO108" s="2"/>
      <c r="AP108" s="63"/>
      <c r="AQ108" s="68"/>
      <c r="AR108" s="21"/>
      <c r="AS108" s="21"/>
      <c r="AT108" s="21"/>
      <c r="AU108" s="225"/>
      <c r="AV108" s="21"/>
      <c r="AW108" s="22"/>
      <c r="AX108" s="2"/>
      <c r="AY108" s="23"/>
      <c r="AZ108" s="19"/>
      <c r="BA108" s="19"/>
      <c r="BB108" s="19"/>
      <c r="BC108" s="24"/>
      <c r="BD108" s="30"/>
      <c r="BG108" s="77" t="s">
        <v>78</v>
      </c>
      <c r="BH108" s="52">
        <f t="shared" ref="BH108:BN108" si="20">SUM(BH104:BH106)</f>
        <v>1583.3729889029257</v>
      </c>
      <c r="BI108" s="52">
        <f t="shared" si="20"/>
        <v>1530.5596392172456</v>
      </c>
      <c r="BJ108" s="52">
        <f t="shared" si="20"/>
        <v>2483.0140442791694</v>
      </c>
      <c r="BK108" s="74">
        <f t="shared" si="20"/>
        <v>5596.946672399341</v>
      </c>
      <c r="BL108" s="76">
        <f t="shared" si="20"/>
        <v>2.5080301732799777</v>
      </c>
      <c r="BM108" s="81">
        <f t="shared" si="20"/>
        <v>6228.5374010089672</v>
      </c>
      <c r="BN108" s="76">
        <f t="shared" si="20"/>
        <v>2.7920356347589235</v>
      </c>
      <c r="BR108" s="337"/>
      <c r="BS108" s="337"/>
      <c r="BT108" s="337"/>
      <c r="BU108" s="337"/>
      <c r="BV108" s="337"/>
      <c r="BW108" s="337"/>
      <c r="BX108" s="337"/>
      <c r="BY108" s="337"/>
      <c r="BZ108" s="337"/>
      <c r="CA108" s="337"/>
      <c r="CB108" s="337"/>
      <c r="CC108" s="337"/>
    </row>
    <row r="109" spans="1:81">
      <c r="A109" s="699"/>
      <c r="B109" s="23"/>
      <c r="C109" s="17" t="s">
        <v>21</v>
      </c>
      <c r="D109" s="57"/>
      <c r="E109" s="2"/>
      <c r="F109" s="2"/>
      <c r="G109" s="63"/>
      <c r="H109" s="2"/>
      <c r="I109" s="20"/>
      <c r="J109" s="21"/>
      <c r="K109" s="21"/>
      <c r="L109" s="22"/>
      <c r="M109" s="2"/>
      <c r="N109" s="23"/>
      <c r="O109" s="19"/>
      <c r="P109" s="19"/>
      <c r="Q109" s="19"/>
      <c r="R109" s="33"/>
      <c r="T109" s="57"/>
      <c r="U109" s="2"/>
      <c r="V109" s="252"/>
      <c r="W109" s="199">
        <f>[2]WA!U70</f>
        <v>12621</v>
      </c>
      <c r="X109" s="198"/>
      <c r="Y109" s="198"/>
      <c r="Z109" s="198"/>
      <c r="AA109" s="274"/>
      <c r="AB109" s="21"/>
      <c r="AC109" s="21"/>
      <c r="AD109" s="21"/>
      <c r="AE109" s="21"/>
      <c r="AF109" s="70"/>
      <c r="AG109" s="20"/>
      <c r="AH109" s="21"/>
      <c r="AI109" s="21"/>
      <c r="AJ109" s="22">
        <f>W109</f>
        <v>12621</v>
      </c>
      <c r="AK109" s="29">
        <f>AJ109/[2]Popn!$I$41*1000</f>
        <v>5.6752462741441629</v>
      </c>
      <c r="AL109" s="19"/>
      <c r="AM109" s="57"/>
      <c r="AN109" s="2"/>
      <c r="AO109" s="2"/>
      <c r="AP109" s="63"/>
      <c r="AQ109" s="68"/>
      <c r="AR109" s="21"/>
      <c r="AS109" s="21"/>
      <c r="AT109" s="21"/>
      <c r="AU109" s="25"/>
      <c r="AV109" s="21"/>
      <c r="AW109" s="22"/>
      <c r="AX109" s="2"/>
      <c r="AY109" s="23"/>
      <c r="AZ109" s="19"/>
      <c r="BA109" s="19"/>
      <c r="BB109" s="19"/>
      <c r="BC109" s="24"/>
      <c r="BD109" s="30"/>
      <c r="BR109" s="337"/>
      <c r="BS109" s="337"/>
      <c r="BT109" s="337"/>
      <c r="BU109" s="337"/>
      <c r="BV109" s="337"/>
      <c r="BW109" s="337"/>
      <c r="BX109" s="337"/>
      <c r="BY109" s="337"/>
      <c r="BZ109" s="337"/>
      <c r="CA109" s="337"/>
      <c r="CB109" s="337"/>
      <c r="CC109" s="337"/>
    </row>
    <row r="110" spans="1:81" s="106" customFormat="1">
      <c r="A110" s="699"/>
      <c r="B110" s="107" t="s">
        <v>67</v>
      </c>
      <c r="C110" s="108"/>
      <c r="D110" s="109"/>
      <c r="E110" s="110"/>
      <c r="F110" s="110"/>
      <c r="G110" s="111"/>
      <c r="H110" s="110"/>
      <c r="I110" s="112">
        <f>D144*[2]WA!$F$381</f>
        <v>21970.356258058517</v>
      </c>
      <c r="J110" s="113">
        <f>E144*[2]WA!J$348</f>
        <v>53598.899197696235</v>
      </c>
      <c r="K110" s="113">
        <f>F144*[2]WA!K$348</f>
        <v>26492.052938116907</v>
      </c>
      <c r="L110" s="114">
        <f>SUM(I110:K110)</f>
        <v>102061.30839387166</v>
      </c>
      <c r="M110" s="110"/>
      <c r="N110" s="112">
        <f>I110-AU110</f>
        <v>21970.356258058517</v>
      </c>
      <c r="O110" s="113">
        <f>J110-AV110</f>
        <v>53598.899197696235</v>
      </c>
      <c r="P110" s="113">
        <f>K110-AW110</f>
        <v>26492.052938116907</v>
      </c>
      <c r="Q110" s="114">
        <f>SUM(N110:P110)</f>
        <v>102061.30839387166</v>
      </c>
      <c r="R110" s="115">
        <f>Q110/[2]Popn!$I$41*1000</f>
        <v>45.893594817890701</v>
      </c>
      <c r="T110" s="109"/>
      <c r="U110" s="110"/>
      <c r="V110" s="253"/>
      <c r="W110" s="203"/>
      <c r="X110" s="130"/>
      <c r="Y110" s="130"/>
      <c r="Z110" s="130"/>
      <c r="AA110" s="276"/>
      <c r="AB110" s="113"/>
      <c r="AC110" s="113"/>
      <c r="AD110" s="113"/>
      <c r="AE110" s="113"/>
      <c r="AF110" s="117"/>
      <c r="AG110" s="112"/>
      <c r="AH110" s="113"/>
      <c r="AI110" s="113"/>
      <c r="AJ110" s="114">
        <f>SUM(AJ107:AJ109)</f>
        <v>375184</v>
      </c>
      <c r="AK110" s="118">
        <f>SUM(AK107:AK109)</f>
        <v>168.70783599702906</v>
      </c>
      <c r="AL110" s="119"/>
      <c r="AM110" s="109"/>
      <c r="AN110" s="110"/>
      <c r="AO110" s="110"/>
      <c r="AP110" s="111"/>
      <c r="AQ110" s="116"/>
      <c r="AR110" s="113"/>
      <c r="AS110" s="113"/>
      <c r="AT110" s="113"/>
      <c r="AU110" s="120"/>
      <c r="AV110" s="113"/>
      <c r="AW110" s="114"/>
      <c r="AX110" s="110"/>
      <c r="AY110" s="112"/>
      <c r="AZ110" s="113"/>
      <c r="BA110" s="113"/>
      <c r="BB110" s="113"/>
      <c r="BC110" s="121"/>
      <c r="BD110" s="122"/>
      <c r="BG110" s="140"/>
      <c r="BH110" s="6"/>
      <c r="BI110" s="6"/>
      <c r="BJ110" s="6"/>
      <c r="BK110" s="6"/>
      <c r="BL110" s="6"/>
      <c r="BM110" s="6"/>
      <c r="BN110" s="6"/>
      <c r="BO110" s="6"/>
      <c r="BU110" s="6"/>
      <c r="BV110" s="6"/>
      <c r="BW110" s="6"/>
      <c r="BX110" s="6"/>
      <c r="BY110" s="6"/>
      <c r="BZ110" s="6"/>
      <c r="CA110" s="6"/>
      <c r="CB110" s="6"/>
    </row>
    <row r="111" spans="1:81">
      <c r="A111" s="699"/>
      <c r="B111" s="23" t="s">
        <v>2</v>
      </c>
      <c r="C111" s="17" t="s">
        <v>22</v>
      </c>
      <c r="D111" s="57"/>
      <c r="E111" s="2"/>
      <c r="F111" s="2"/>
      <c r="G111" s="63"/>
      <c r="H111" s="2"/>
      <c r="I111" s="20"/>
      <c r="J111" s="21"/>
      <c r="K111" s="21"/>
      <c r="L111" s="22"/>
      <c r="M111" s="2"/>
      <c r="N111" s="20"/>
      <c r="O111" s="21"/>
      <c r="P111" s="21"/>
      <c r="Q111" s="21"/>
      <c r="R111" s="34"/>
      <c r="T111" s="57"/>
      <c r="U111" s="2"/>
      <c r="V111" s="252"/>
      <c r="W111" s="199">
        <f>[2]WA!U72</f>
        <v>7177</v>
      </c>
      <c r="X111" s="198"/>
      <c r="Y111" s="198"/>
      <c r="Z111" s="198"/>
      <c r="AA111" s="274"/>
      <c r="AB111" s="21"/>
      <c r="AC111" s="21"/>
      <c r="AD111" s="21"/>
      <c r="AE111" s="21"/>
      <c r="AF111" s="70"/>
      <c r="AG111" s="20"/>
      <c r="AH111" s="21"/>
      <c r="AI111" s="21"/>
      <c r="AJ111" s="22">
        <f>W111</f>
        <v>7177</v>
      </c>
      <c r="AK111" s="29">
        <f>AJ111/[2]Popn!$I$41*1000</f>
        <v>3.227259528526476</v>
      </c>
      <c r="AL111" s="19"/>
      <c r="AM111" s="57"/>
      <c r="AN111" s="2"/>
      <c r="AO111" s="2"/>
      <c r="AP111" s="63"/>
      <c r="AQ111" s="70"/>
      <c r="AR111" s="21">
        <f>L116*'[2]Lfill en &amp; composn'!$I$82/SUM('[2]Lfill en &amp; composn'!$I$82,'[2]Lfill en &amp; composn'!$I$84:$I$85,'[2]Lfill en &amp; composn'!$I$87:$I$88)*'[2]Lfill en &amp; composn'!$D$16</f>
        <v>84917.898081112129</v>
      </c>
      <c r="AS111" s="35">
        <f>AR111/SUM($AR$101:$AR$143)</f>
        <v>0.36299945989286059</v>
      </c>
      <c r="AT111" s="21">
        <f>AS111*'[2]Lfill en &amp; composn'!$I$62/'[2]Lfill en &amp; composn'!$B$16</f>
        <v>114592.02385074957</v>
      </c>
      <c r="AU111" s="25"/>
      <c r="AV111" s="21"/>
      <c r="AW111" s="22"/>
      <c r="AX111" s="82"/>
      <c r="AY111" s="20"/>
      <c r="AZ111" s="21"/>
      <c r="BA111" s="21"/>
      <c r="BB111" s="21"/>
      <c r="BC111" s="29"/>
      <c r="BD111" s="30"/>
    </row>
    <row r="112" spans="1:81">
      <c r="A112" s="699"/>
      <c r="B112" s="23"/>
      <c r="C112" s="17" t="s">
        <v>23</v>
      </c>
      <c r="D112" s="57"/>
      <c r="E112" s="2"/>
      <c r="F112" s="2"/>
      <c r="G112" s="63"/>
      <c r="H112" s="2"/>
      <c r="I112" s="20"/>
      <c r="J112" s="21"/>
      <c r="K112" s="21"/>
      <c r="L112" s="22"/>
      <c r="M112" s="2"/>
      <c r="N112" s="20"/>
      <c r="O112" s="21"/>
      <c r="P112" s="21"/>
      <c r="Q112" s="21"/>
      <c r="R112" s="34"/>
      <c r="T112" s="201"/>
      <c r="U112" s="2"/>
      <c r="V112" s="252"/>
      <c r="W112" s="199">
        <f>[2]WA!U73</f>
        <v>221125</v>
      </c>
      <c r="X112" s="198"/>
      <c r="Y112" s="198"/>
      <c r="Z112" s="198"/>
      <c r="AA112" s="274"/>
      <c r="AB112" s="21"/>
      <c r="AC112" s="21"/>
      <c r="AD112" s="21"/>
      <c r="AE112" s="21"/>
      <c r="AF112" s="70"/>
      <c r="AG112" s="20"/>
      <c r="AH112" s="21"/>
      <c r="AI112" s="21"/>
      <c r="AJ112" s="22">
        <f>W112</f>
        <v>221125</v>
      </c>
      <c r="AK112" s="29">
        <f>AJ112/[2]Popn!$I$41*1000</f>
        <v>99.432599030990261</v>
      </c>
      <c r="AL112" s="19"/>
      <c r="AM112" s="57"/>
      <c r="AN112" s="2"/>
      <c r="AO112" s="2"/>
      <c r="AP112" s="63"/>
      <c r="AQ112" s="68"/>
      <c r="AR112" s="21">
        <f>L116*'[2]Lfill en &amp; composn'!$I$84/SUM('[2]Lfill en &amp; composn'!$I$82,'[2]Lfill en &amp; composn'!$I$84:$I$85,'[2]Lfill en &amp; composn'!$I$87:$I$88)*'[2]Lfill en &amp; composn'!$D$18</f>
        <v>30347.10669572838</v>
      </c>
      <c r="AS112" s="35">
        <f>AR112/SUM($AR$101:$AR$143)</f>
        <v>0.1297251061176542</v>
      </c>
      <c r="AT112" s="21">
        <f>AS112*'[2]Lfill en &amp; composn'!$I$62/'[2]Lfill en &amp; composn'!$B$18</f>
        <v>30713.81110042724</v>
      </c>
      <c r="AU112" s="25"/>
      <c r="AV112" s="21"/>
      <c r="AW112" s="22"/>
      <c r="AX112" s="2"/>
      <c r="AY112" s="20"/>
      <c r="AZ112" s="21"/>
      <c r="BA112" s="21"/>
      <c r="BB112" s="21"/>
      <c r="BC112" s="29"/>
      <c r="BD112" s="36"/>
    </row>
    <row r="113" spans="1:80">
      <c r="A113" s="699"/>
      <c r="B113" s="23"/>
      <c r="C113" s="17" t="s">
        <v>24</v>
      </c>
      <c r="D113" s="57"/>
      <c r="E113" s="2"/>
      <c r="F113" s="2"/>
      <c r="G113" s="63"/>
      <c r="H113" s="2"/>
      <c r="I113" s="20"/>
      <c r="J113" s="21"/>
      <c r="K113" s="21"/>
      <c r="L113" s="22"/>
      <c r="M113" s="2"/>
      <c r="N113" s="20"/>
      <c r="O113" s="21"/>
      <c r="P113" s="21"/>
      <c r="Q113" s="21"/>
      <c r="R113" s="34"/>
      <c r="T113" s="57"/>
      <c r="U113" s="2"/>
      <c r="V113" s="252"/>
      <c r="W113" s="199">
        <f>[2]WA!U74</f>
        <v>16677</v>
      </c>
      <c r="X113" s="198"/>
      <c r="Y113" s="198"/>
      <c r="Z113" s="198"/>
      <c r="AA113" s="274"/>
      <c r="AB113" s="21"/>
      <c r="AC113" s="21"/>
      <c r="AD113" s="21"/>
      <c r="AE113" s="21"/>
      <c r="AF113" s="70"/>
      <c r="AG113" s="20"/>
      <c r="AH113" s="21"/>
      <c r="AI113" s="21"/>
      <c r="AJ113" s="22">
        <f>W113</f>
        <v>16677</v>
      </c>
      <c r="AK113" s="29">
        <f>AJ113/[2]Popn!$I$41*1000</f>
        <v>7.4990953263530793</v>
      </c>
      <c r="AL113" s="19"/>
      <c r="AM113" s="57"/>
      <c r="AN113" s="2"/>
      <c r="AO113" s="2"/>
      <c r="AP113" s="63"/>
      <c r="AQ113" s="70"/>
      <c r="AR113" s="21">
        <f>L116*'[2]Lfill en &amp; composn'!$I$85/SUM('[2]Lfill en &amp; composn'!$I$82,'[2]Lfill en &amp; composn'!$I$84:$I$85,'[2]Lfill en &amp; composn'!$I$87:$I$88)*'[2]Lfill en &amp; composn'!$D$19</f>
        <v>30335.191675775233</v>
      </c>
      <c r="AS113" s="35">
        <f>AR113/SUM($AR$101:$AR$143)</f>
        <v>0.12967417285263777</v>
      </c>
      <c r="AT113" s="21">
        <f>AS113*'[2]Lfill en &amp; composn'!$I$62/'[2]Lfill en &amp; composn'!$B$19</f>
        <v>14279.884699214901</v>
      </c>
      <c r="AU113" s="25"/>
      <c r="AV113" s="21"/>
      <c r="AW113" s="22"/>
      <c r="AX113" s="2"/>
      <c r="AY113" s="20"/>
      <c r="AZ113" s="21"/>
      <c r="BA113" s="21"/>
      <c r="BB113" s="21"/>
      <c r="BC113" s="29"/>
    </row>
    <row r="114" spans="1:80">
      <c r="A114" s="699"/>
      <c r="B114" s="23"/>
      <c r="C114" s="17" t="s">
        <v>25</v>
      </c>
      <c r="D114" s="57"/>
      <c r="E114" s="2"/>
      <c r="F114" s="2"/>
      <c r="G114" s="63"/>
      <c r="H114" s="2"/>
      <c r="I114" s="20"/>
      <c r="J114" s="21"/>
      <c r="K114" s="21"/>
      <c r="L114" s="22"/>
      <c r="M114" s="2"/>
      <c r="N114" s="20"/>
      <c r="O114" s="21"/>
      <c r="P114" s="21"/>
      <c r="Q114" s="21"/>
      <c r="R114" s="34"/>
      <c r="T114" s="57"/>
      <c r="U114" s="2"/>
      <c r="V114" s="252"/>
      <c r="W114" s="199">
        <f>[2]WA!U75</f>
        <v>157943</v>
      </c>
      <c r="X114" s="198"/>
      <c r="Y114" s="198"/>
      <c r="Z114" s="198"/>
      <c r="AA114" s="274"/>
      <c r="AB114" s="21"/>
      <c r="AC114" s="21"/>
      <c r="AD114" s="21"/>
      <c r="AE114" s="21"/>
      <c r="AF114" s="70"/>
      <c r="AG114" s="20"/>
      <c r="AH114" s="21"/>
      <c r="AI114" s="21"/>
      <c r="AJ114" s="22">
        <f>W114</f>
        <v>157943</v>
      </c>
      <c r="AK114" s="29">
        <f>AJ114/[2]Popn!$I$41*1000</f>
        <v>71.021743306960744</v>
      </c>
      <c r="AL114" s="19"/>
      <c r="AM114" s="57"/>
      <c r="AN114" s="2"/>
      <c r="AO114" s="2"/>
      <c r="AP114" s="63"/>
      <c r="AQ114" s="68"/>
      <c r="AR114" s="21">
        <f>L116*'[2]Lfill en &amp; composn'!$I$93/SUM('[2]Lfill en &amp; composn'!$I$82,'[2]Lfill en &amp; composn'!$I$84:$I$85,'[2]Lfill en &amp; composn'!$I$87:$I$88)*'[2]Lfill en &amp; composn'!$D$24</f>
        <v>6594.2105993434234</v>
      </c>
      <c r="AS114" s="35">
        <f>AR114/SUM($AR$101:$AR$143)</f>
        <v>2.8188343565628798E-2</v>
      </c>
      <c r="AT114" s="21">
        <f>AS114*'[2]Lfill en &amp; composn'!$I$62/'[2]Lfill en &amp; composn'!$B$24</f>
        <v>5561.5773835087812</v>
      </c>
      <c r="AU114" s="25"/>
      <c r="AV114" s="21"/>
      <c r="AW114" s="22"/>
      <c r="AX114" s="83"/>
      <c r="AY114" s="20"/>
      <c r="AZ114" s="21"/>
      <c r="BA114" s="21"/>
      <c r="BB114" s="21"/>
      <c r="BC114" s="29"/>
    </row>
    <row r="115" spans="1:80">
      <c r="A115" s="699"/>
      <c r="B115" s="23"/>
      <c r="C115" s="17" t="s">
        <v>0</v>
      </c>
      <c r="D115" s="57"/>
      <c r="E115" s="2"/>
      <c r="F115" s="2"/>
      <c r="G115" s="199"/>
      <c r="H115" s="198">
        <f>[2]Biosolids!$I$198</f>
        <v>0</v>
      </c>
      <c r="I115" s="112"/>
      <c r="J115" s="21"/>
      <c r="K115" s="21"/>
      <c r="L115" s="22"/>
      <c r="M115" s="68"/>
      <c r="N115" s="23"/>
      <c r="O115" s="19"/>
      <c r="P115" s="19"/>
      <c r="Q115" s="19"/>
      <c r="R115" s="34"/>
      <c r="T115" s="57"/>
      <c r="U115" s="2"/>
      <c r="V115" s="252"/>
      <c r="W115" s="199"/>
      <c r="X115" s="198"/>
      <c r="Y115" s="198"/>
      <c r="Z115" s="198"/>
      <c r="AA115" s="278">
        <f>[2]Biosolids!$I$197</f>
        <v>24869</v>
      </c>
      <c r="AB115" s="21"/>
      <c r="AC115" s="21"/>
      <c r="AD115" s="21"/>
      <c r="AE115" s="21"/>
      <c r="AF115" s="355" t="s">
        <v>196</v>
      </c>
      <c r="AG115" s="20"/>
      <c r="AH115" s="21"/>
      <c r="AI115" s="21"/>
      <c r="AJ115" s="22">
        <f>AA115</f>
        <v>24869</v>
      </c>
      <c r="AK115" s="29">
        <f>AJ115/[2]Popn!$I$41*1000</f>
        <v>11.182766784857872</v>
      </c>
      <c r="AL115" s="19"/>
      <c r="AM115" s="57"/>
      <c r="AN115" s="2"/>
      <c r="AO115" s="2"/>
      <c r="AP115" s="63"/>
      <c r="AQ115" s="68"/>
      <c r="AR115" s="21">
        <f>L116*'[2]Lfill en &amp; composn'!$I$87/SUM('[2]Lfill en &amp; composn'!$I$82,'[2]Lfill en &amp; composn'!$I$84:$I$85,'[2]Lfill en &amp; composn'!$I$87:$I$88)*'[2]Lfill en &amp; composn'!$D$21</f>
        <v>336.84369047126864</v>
      </c>
      <c r="AS115" s="35">
        <f>AR115/SUM($AR$101:$AR$143)</f>
        <v>1.4399093768500289E-3</v>
      </c>
      <c r="AT115" s="21">
        <f>AS115*'[2]Lfill en &amp; composn'!$I$62/'[2]Lfill en &amp; composn'!$B$21</f>
        <v>1363.6559930718647</v>
      </c>
      <c r="AU115" s="25"/>
      <c r="AV115" s="21"/>
      <c r="AW115" s="22"/>
      <c r="AX115" s="2"/>
      <c r="AY115" s="23"/>
      <c r="AZ115" s="19"/>
      <c r="BA115" s="19"/>
      <c r="BB115" s="21"/>
      <c r="BC115" s="24"/>
    </row>
    <row r="116" spans="1:80" s="106" customFormat="1">
      <c r="A116" s="699"/>
      <c r="B116" s="107" t="s">
        <v>67</v>
      </c>
      <c r="C116" s="108"/>
      <c r="D116" s="109"/>
      <c r="E116" s="110"/>
      <c r="F116" s="110"/>
      <c r="G116" s="111"/>
      <c r="H116" s="110"/>
      <c r="I116" s="112">
        <f>D144*[2]WA!$F$382</f>
        <v>695727.94817185297</v>
      </c>
      <c r="J116" s="113">
        <f>E144*[2]WA!J$349</f>
        <v>599797.20530755306</v>
      </c>
      <c r="K116" s="113">
        <f>F144*[2]WA!K$349</f>
        <v>76419.383475337221</v>
      </c>
      <c r="L116" s="114">
        <f>SUM(I116:K116)</f>
        <v>1371944.5369547433</v>
      </c>
      <c r="M116" s="110"/>
      <c r="N116" s="112">
        <f>I116-AU116</f>
        <v>611288.43871855154</v>
      </c>
      <c r="O116" s="113">
        <f>J116-AV116</f>
        <v>527000.67338625586</v>
      </c>
      <c r="P116" s="113">
        <f>K116-AW116</f>
        <v>67144.471822963475</v>
      </c>
      <c r="Q116" s="114">
        <f>SUM(N116:P116)</f>
        <v>1205433.5839277711</v>
      </c>
      <c r="R116" s="115">
        <f>Q116/[2]Popn!$I$41*1000</f>
        <v>542.04361428684956</v>
      </c>
      <c r="T116" s="109"/>
      <c r="U116" s="110"/>
      <c r="V116" s="253"/>
      <c r="W116" s="203"/>
      <c r="X116" s="130"/>
      <c r="Y116" s="130"/>
      <c r="Z116" s="130"/>
      <c r="AA116" s="276"/>
      <c r="AB116" s="113"/>
      <c r="AC116" s="113"/>
      <c r="AD116" s="113"/>
      <c r="AE116" s="113"/>
      <c r="AF116" s="117"/>
      <c r="AG116" s="112"/>
      <c r="AH116" s="113"/>
      <c r="AI116" s="113"/>
      <c r="AJ116" s="114">
        <f>SUM(AJ111:AJ115)</f>
        <v>427791</v>
      </c>
      <c r="AK116" s="118">
        <f>SUM(AK111:AK115)</f>
        <v>192.36346397768844</v>
      </c>
      <c r="AL116" s="119"/>
      <c r="AM116" s="109"/>
      <c r="AN116" s="110"/>
      <c r="AO116" s="110"/>
      <c r="AP116" s="111"/>
      <c r="AQ116" s="116"/>
      <c r="AR116" s="113"/>
      <c r="AS116" s="113"/>
      <c r="AT116" s="113">
        <f>SUM(AT111:AT115)</f>
        <v>166510.95302697233</v>
      </c>
      <c r="AU116" s="120">
        <f>$AT116*I116/SUM($I116:$K116)</f>
        <v>84439.509453301391</v>
      </c>
      <c r="AV116" s="113">
        <f>$AT116*J116/SUM($I116:$K116)</f>
        <v>72796.531921297181</v>
      </c>
      <c r="AW116" s="114">
        <f>$AT116*K116/SUM($I116:$K116)</f>
        <v>9274.9116523737521</v>
      </c>
      <c r="AX116" s="110"/>
      <c r="AY116" s="241">
        <f>AU116</f>
        <v>84439.509453301391</v>
      </c>
      <c r="AZ116" s="242">
        <f>AV116</f>
        <v>72796.531921297181</v>
      </c>
      <c r="BA116" s="242">
        <f>AW116</f>
        <v>9274.9116523737521</v>
      </c>
      <c r="BB116" s="243">
        <f>AT116+AP116</f>
        <v>166510.95302697233</v>
      </c>
      <c r="BC116" s="118">
        <f>BB116/[2]Popn!$I$41*1000</f>
        <v>74.874468407457286</v>
      </c>
      <c r="BD116" s="122"/>
      <c r="BG116" s="146"/>
      <c r="BH116" s="138" t="s">
        <v>72</v>
      </c>
      <c r="BI116" s="138" t="s">
        <v>68</v>
      </c>
      <c r="BJ116" s="138" t="s">
        <v>69</v>
      </c>
      <c r="BK116" s="138" t="s">
        <v>73</v>
      </c>
      <c r="BL116" s="138" t="s">
        <v>78</v>
      </c>
      <c r="BM116" s="6"/>
      <c r="BN116" s="6"/>
      <c r="BO116" s="6"/>
      <c r="BU116" s="6"/>
      <c r="BV116" s="6"/>
      <c r="BW116" s="6"/>
      <c r="BX116" s="6"/>
      <c r="BY116" s="6"/>
      <c r="BZ116" s="6"/>
      <c r="CA116" s="6"/>
      <c r="CB116" s="6"/>
    </row>
    <row r="117" spans="1:80">
      <c r="A117" s="699"/>
      <c r="B117" s="23" t="s">
        <v>5</v>
      </c>
      <c r="C117" s="17" t="s">
        <v>26</v>
      </c>
      <c r="D117" s="57"/>
      <c r="E117" s="2"/>
      <c r="F117" s="2"/>
      <c r="G117" s="63"/>
      <c r="H117" s="2"/>
      <c r="I117" s="20"/>
      <c r="J117" s="21"/>
      <c r="K117" s="21"/>
      <c r="L117" s="22"/>
      <c r="M117" s="2"/>
      <c r="N117" s="23"/>
      <c r="O117" s="19"/>
      <c r="P117" s="19"/>
      <c r="Q117" s="19"/>
      <c r="R117" s="33"/>
      <c r="T117" s="57"/>
      <c r="U117" s="2"/>
      <c r="V117" s="252"/>
      <c r="W117" s="199">
        <f>[2]WA!U78</f>
        <v>121786</v>
      </c>
      <c r="X117" s="198"/>
      <c r="Y117" s="198"/>
      <c r="Z117" s="198"/>
      <c r="AA117" s="274"/>
      <c r="AB117" s="21"/>
      <c r="AC117" s="21"/>
      <c r="AD117" s="21"/>
      <c r="AE117" s="21"/>
      <c r="AF117" s="70"/>
      <c r="AG117" s="20"/>
      <c r="AH117" s="21"/>
      <c r="AI117" s="21"/>
      <c r="AJ117" s="22">
        <f>W117</f>
        <v>121786</v>
      </c>
      <c r="AK117" s="29">
        <f>AJ117/[2]Popn!$I$41*1000</f>
        <v>54.763136260432695</v>
      </c>
      <c r="AL117" s="19"/>
      <c r="AM117" s="57"/>
      <c r="AN117" s="2"/>
      <c r="AO117" s="2"/>
      <c r="AP117" s="63"/>
      <c r="AQ117" s="68"/>
      <c r="AR117" s="21"/>
      <c r="AS117" s="21"/>
      <c r="AT117" s="21"/>
      <c r="AU117" s="240"/>
      <c r="AV117" s="19"/>
      <c r="AW117" s="195"/>
      <c r="AX117" s="2"/>
      <c r="AY117" s="238"/>
      <c r="BB117" s="19"/>
      <c r="BC117" s="24"/>
      <c r="BG117" s="147" t="s">
        <v>3</v>
      </c>
      <c r="BH117" s="52">
        <f>Q106/1000</f>
        <v>1806.9017512743981</v>
      </c>
      <c r="BI117" s="52">
        <f>AJ106/1000</f>
        <v>420.54</v>
      </c>
      <c r="BJ117" s="52">
        <f>BB106/1000</f>
        <v>0</v>
      </c>
      <c r="BK117" s="137">
        <f>SUM(BI117:BJ117)/BL117</f>
        <v>0.1887995498689895</v>
      </c>
      <c r="BL117" s="52">
        <f>SUM(BH117:BJ117)</f>
        <v>2227.441751274398</v>
      </c>
      <c r="BU117" s="106"/>
      <c r="BV117" s="106"/>
      <c r="BW117" s="106"/>
      <c r="BX117" s="106"/>
      <c r="BY117" s="106"/>
      <c r="BZ117" s="106"/>
      <c r="CA117" s="106"/>
      <c r="CB117" s="106"/>
    </row>
    <row r="118" spans="1:80">
      <c r="A118" s="699"/>
      <c r="B118" s="23"/>
      <c r="C118" s="17" t="s">
        <v>27</v>
      </c>
      <c r="D118" s="57"/>
      <c r="E118" s="2"/>
      <c r="F118" s="2"/>
      <c r="G118" s="63"/>
      <c r="H118" s="2"/>
      <c r="I118" s="20"/>
      <c r="J118" s="21"/>
      <c r="K118" s="21"/>
      <c r="L118" s="22"/>
      <c r="M118" s="2"/>
      <c r="N118" s="23"/>
      <c r="O118" s="19"/>
      <c r="P118" s="19"/>
      <c r="Q118" s="19"/>
      <c r="R118" s="33"/>
      <c r="T118" s="57"/>
      <c r="U118" s="2"/>
      <c r="V118" s="252"/>
      <c r="W118" s="199">
        <f>[2]WA!U79</f>
        <v>750</v>
      </c>
      <c r="X118" s="198"/>
      <c r="Y118" s="198"/>
      <c r="Z118" s="198"/>
      <c r="AA118" s="274"/>
      <c r="AB118" s="21"/>
      <c r="AC118" s="21"/>
      <c r="AD118" s="21"/>
      <c r="AE118" s="21"/>
      <c r="AF118" s="70"/>
      <c r="AG118" s="20"/>
      <c r="AH118" s="21"/>
      <c r="AI118" s="21"/>
      <c r="AJ118" s="22">
        <f>W118</f>
        <v>750</v>
      </c>
      <c r="AK118" s="29">
        <f>AJ118/[2]Popn!$I$41*1000</f>
        <v>0.33725019456525812</v>
      </c>
      <c r="AL118" s="19"/>
      <c r="AM118" s="57"/>
      <c r="AN118" s="2"/>
      <c r="AO118" s="2"/>
      <c r="AP118" s="63"/>
      <c r="AQ118" s="68"/>
      <c r="AR118" s="21"/>
      <c r="AS118" s="21"/>
      <c r="AT118" s="21"/>
      <c r="AU118" s="240"/>
      <c r="AV118" s="19"/>
      <c r="AW118" s="195"/>
      <c r="AX118" s="2"/>
      <c r="AY118" s="238"/>
      <c r="BB118" s="19"/>
      <c r="BC118" s="24"/>
      <c r="BG118" s="147" t="s">
        <v>4</v>
      </c>
      <c r="BH118" s="52">
        <f>Q110/1000</f>
        <v>102.06130839387166</v>
      </c>
      <c r="BI118" s="52">
        <f>AJ110/1000</f>
        <v>375.18400000000003</v>
      </c>
      <c r="BJ118" s="52">
        <f>BB110/1000</f>
        <v>0</v>
      </c>
      <c r="BK118" s="137">
        <f t="shared" ref="BK118:BK125" si="21">SUM(BI118:BJ118)/BL118</f>
        <v>0.78614497282885754</v>
      </c>
      <c r="BL118" s="52">
        <f t="shared" ref="BL118:BL125" si="22">SUM(BH118:BJ118)</f>
        <v>477.24530839387171</v>
      </c>
    </row>
    <row r="119" spans="1:80">
      <c r="A119" s="699"/>
      <c r="B119" s="23"/>
      <c r="C119" s="17" t="s">
        <v>28</v>
      </c>
      <c r="D119" s="57"/>
      <c r="E119" s="2"/>
      <c r="F119" s="2"/>
      <c r="G119" s="63"/>
      <c r="H119" s="2"/>
      <c r="I119" s="20"/>
      <c r="J119" s="21"/>
      <c r="K119" s="21"/>
      <c r="L119" s="22"/>
      <c r="M119" s="2"/>
      <c r="N119" s="23"/>
      <c r="O119" s="19"/>
      <c r="P119" s="19"/>
      <c r="Q119" s="19"/>
      <c r="R119" s="33"/>
      <c r="T119" s="57"/>
      <c r="U119" s="2"/>
      <c r="V119" s="252"/>
      <c r="W119" s="199">
        <f>[2]WA!U80</f>
        <v>81576</v>
      </c>
      <c r="X119" s="198"/>
      <c r="Y119" s="198"/>
      <c r="Z119" s="198"/>
      <c r="AA119" s="274"/>
      <c r="AB119" s="21"/>
      <c r="AC119" s="21"/>
      <c r="AD119" s="21"/>
      <c r="AE119" s="21"/>
      <c r="AF119" s="70"/>
      <c r="AG119" s="20"/>
      <c r="AH119" s="21"/>
      <c r="AI119" s="21"/>
      <c r="AJ119" s="22">
        <f>W119</f>
        <v>81576</v>
      </c>
      <c r="AK119" s="29">
        <f>AJ119/[2]Popn!$I$41*1000</f>
        <v>36.682029162473988</v>
      </c>
      <c r="AL119" s="19"/>
      <c r="AM119" s="57"/>
      <c r="AN119" s="2"/>
      <c r="AO119" s="2"/>
      <c r="AP119" s="63"/>
      <c r="AQ119" s="68"/>
      <c r="AR119" s="21"/>
      <c r="AS119" s="21"/>
      <c r="AT119" s="21"/>
      <c r="AU119" s="240"/>
      <c r="AV119" s="19"/>
      <c r="AW119" s="195"/>
      <c r="AX119" s="2"/>
      <c r="AY119" s="238"/>
      <c r="BB119" s="19"/>
      <c r="BC119" s="24"/>
      <c r="BG119" s="147" t="s">
        <v>2</v>
      </c>
      <c r="BH119" s="52">
        <f>Q116/1000</f>
        <v>1205.433583927771</v>
      </c>
      <c r="BI119" s="52">
        <f>AJ116/1000</f>
        <v>427.791</v>
      </c>
      <c r="BJ119" s="52">
        <f>BB116/1000</f>
        <v>166.51095302697235</v>
      </c>
      <c r="BK119" s="137">
        <f t="shared" si="21"/>
        <v>0.33021626834827389</v>
      </c>
      <c r="BL119" s="52">
        <f t="shared" si="22"/>
        <v>1799.7355369547433</v>
      </c>
    </row>
    <row r="120" spans="1:80">
      <c r="A120" s="699"/>
      <c r="B120" s="23"/>
      <c r="C120" s="17" t="s">
        <v>29</v>
      </c>
      <c r="D120" s="57"/>
      <c r="E120" s="2"/>
      <c r="F120" s="2"/>
      <c r="G120" s="63"/>
      <c r="H120" s="2"/>
      <c r="I120" s="20"/>
      <c r="J120" s="21"/>
      <c r="K120" s="21"/>
      <c r="L120" s="22"/>
      <c r="M120" s="2"/>
      <c r="N120" s="23"/>
      <c r="O120" s="19"/>
      <c r="P120" s="19"/>
      <c r="Q120" s="19"/>
      <c r="R120" s="33"/>
      <c r="T120" s="57"/>
      <c r="U120" s="2"/>
      <c r="V120" s="252"/>
      <c r="W120" s="199">
        <f>[2]WA!U81</f>
        <v>26915</v>
      </c>
      <c r="X120" s="198"/>
      <c r="Y120" s="198"/>
      <c r="Z120" s="198"/>
      <c r="AA120" s="274"/>
      <c r="AB120" s="21"/>
      <c r="AC120" s="21"/>
      <c r="AD120" s="21"/>
      <c r="AE120" s="21"/>
      <c r="AF120" s="70"/>
      <c r="AG120" s="20"/>
      <c r="AH120" s="21"/>
      <c r="AI120" s="21"/>
      <c r="AJ120" s="22">
        <f>W120</f>
        <v>26915</v>
      </c>
      <c r="AK120" s="29">
        <f>AJ120/[2]Popn!$I$41*1000</f>
        <v>12.102785315631895</v>
      </c>
      <c r="AL120" s="19"/>
      <c r="AM120" s="57"/>
      <c r="AN120" s="2"/>
      <c r="AO120" s="2"/>
      <c r="AP120" s="63"/>
      <c r="AQ120" s="68"/>
      <c r="AR120" s="21"/>
      <c r="AS120" s="21"/>
      <c r="AT120" s="21"/>
      <c r="AU120" s="240"/>
      <c r="AV120" s="19"/>
      <c r="AW120" s="195"/>
      <c r="AX120" s="2"/>
      <c r="AY120" s="238"/>
      <c r="BB120" s="19"/>
      <c r="BC120" s="24"/>
      <c r="BG120" s="147" t="s">
        <v>5</v>
      </c>
      <c r="BH120" s="52">
        <f>Q121/1000</f>
        <v>324.72928225081574</v>
      </c>
      <c r="BI120" s="52">
        <f>AJ121/1000</f>
        <v>231.02699999999999</v>
      </c>
      <c r="BJ120" s="52">
        <f>BB121/1000</f>
        <v>35.754272885782903</v>
      </c>
      <c r="BK120" s="137">
        <f t="shared" si="21"/>
        <v>0.45101692703382879</v>
      </c>
      <c r="BL120" s="52">
        <f t="shared" si="22"/>
        <v>591.51055513659867</v>
      </c>
    </row>
    <row r="121" spans="1:80" s="106" customFormat="1">
      <c r="A121" s="699"/>
      <c r="B121" s="107" t="s">
        <v>67</v>
      </c>
      <c r="C121" s="108"/>
      <c r="D121" s="109"/>
      <c r="E121" s="110"/>
      <c r="F121" s="110"/>
      <c r="G121" s="111"/>
      <c r="H121" s="110"/>
      <c r="I121" s="112">
        <f>D144*[2]WA!$F$383</f>
        <v>120836.95941932184</v>
      </c>
      <c r="J121" s="113">
        <f>E144*[2]WA!J$350</f>
        <v>230985.73225673859</v>
      </c>
      <c r="K121" s="113">
        <f>F144*[2]WA!K$350</f>
        <v>8660.8634605382176</v>
      </c>
      <c r="L121" s="114">
        <f>SUM(I121:K121)</f>
        <v>360483.55513659865</v>
      </c>
      <c r="M121" s="110"/>
      <c r="N121" s="112">
        <f>I121-AU121</f>
        <v>108851.84231701863</v>
      </c>
      <c r="O121" s="113">
        <f>J121-AV121</f>
        <v>208075.59728345159</v>
      </c>
      <c r="P121" s="113">
        <f>K121-AW121</f>
        <v>7801.8426503455075</v>
      </c>
      <c r="Q121" s="114">
        <f>SUM(N121:P121)</f>
        <v>324729.28225081577</v>
      </c>
      <c r="R121" s="115">
        <f>Q121/[2]Popn!$I$41*1000</f>
        <v>146.02001816016562</v>
      </c>
      <c r="T121" s="109"/>
      <c r="U121" s="110"/>
      <c r="V121" s="110"/>
      <c r="W121" s="203"/>
      <c r="X121" s="130"/>
      <c r="Y121" s="130"/>
      <c r="Z121" s="130"/>
      <c r="AA121" s="276"/>
      <c r="AB121" s="113"/>
      <c r="AC121" s="113"/>
      <c r="AD121" s="113"/>
      <c r="AE121" s="113"/>
      <c r="AF121" s="117"/>
      <c r="AG121" s="112"/>
      <c r="AH121" s="113"/>
      <c r="AI121" s="113"/>
      <c r="AJ121" s="114">
        <f>SUM(AJ117:AJ120)</f>
        <v>231027</v>
      </c>
      <c r="AK121" s="118">
        <f>SUM(AK117:AK120)</f>
        <v>103.88520093310383</v>
      </c>
      <c r="AL121" s="119"/>
      <c r="AM121" s="109"/>
      <c r="AN121" s="110"/>
      <c r="AO121" s="110"/>
      <c r="AP121" s="111"/>
      <c r="AQ121" s="117"/>
      <c r="AR121" s="113">
        <f>L121*'[2]Lfill en &amp; composn'!$D$17</f>
        <v>70654.776806773341</v>
      </c>
      <c r="AS121" s="123">
        <f>AR121/SUM($AR$101:$AR$143)</f>
        <v>0.30202874069269992</v>
      </c>
      <c r="AT121" s="113">
        <f>AS121*'[2]Lfill en &amp; composn'!$I$62/'[2]Lfill en &amp; composn'!$B$17</f>
        <v>35754.272885782906</v>
      </c>
      <c r="AU121" s="120">
        <f>$AT121*I121/SUM($I121:$K121)</f>
        <v>11985.117102303204</v>
      </c>
      <c r="AV121" s="113">
        <f>$AT121*J121/SUM($I121:$K121)</f>
        <v>22910.134973286993</v>
      </c>
      <c r="AW121" s="114">
        <f>$AT121*K121/SUM($I121:$K121)</f>
        <v>859.02081019271031</v>
      </c>
      <c r="AX121" s="110"/>
      <c r="AY121" s="241">
        <f>AU121</f>
        <v>11985.117102303204</v>
      </c>
      <c r="AZ121" s="242">
        <f>AV121</f>
        <v>22910.134973286993</v>
      </c>
      <c r="BA121" s="242">
        <f>AW121</f>
        <v>859.02081019271031</v>
      </c>
      <c r="BB121" s="114">
        <f>AT121+AP121</f>
        <v>35754.272885782906</v>
      </c>
      <c r="BC121" s="118">
        <f>BB121/[2]Popn!$I$41*1000</f>
        <v>16.077513983026154</v>
      </c>
      <c r="BD121" s="122"/>
      <c r="BG121" s="147" t="s">
        <v>6</v>
      </c>
      <c r="BH121" s="52">
        <f>Q131/1000</f>
        <v>237.35352601653014</v>
      </c>
      <c r="BI121" s="52">
        <f>AJ131/1000</f>
        <v>19.417999999999999</v>
      </c>
      <c r="BJ121" s="52">
        <f>BB131/1000</f>
        <v>0</v>
      </c>
      <c r="BK121" s="137">
        <f t="shared" si="21"/>
        <v>7.562364994765787E-2</v>
      </c>
      <c r="BL121" s="52">
        <f t="shared" si="22"/>
        <v>256.77152601653012</v>
      </c>
      <c r="BM121" s="6"/>
      <c r="BN121" s="6"/>
      <c r="BO121" s="6"/>
      <c r="BU121" s="6"/>
      <c r="BV121" s="6"/>
      <c r="BW121" s="6"/>
      <c r="BX121" s="6"/>
      <c r="BY121" s="6"/>
      <c r="BZ121" s="6"/>
      <c r="CA121" s="6"/>
      <c r="CB121" s="6"/>
    </row>
    <row r="122" spans="1:80">
      <c r="A122" s="699"/>
      <c r="B122" s="23" t="s">
        <v>6</v>
      </c>
      <c r="C122" s="17" t="s">
        <v>30</v>
      </c>
      <c r="D122" s="57"/>
      <c r="E122" s="2"/>
      <c r="F122" s="2"/>
      <c r="G122" s="63"/>
      <c r="H122" s="2"/>
      <c r="I122" s="20"/>
      <c r="J122" s="21"/>
      <c r="K122" s="21"/>
      <c r="L122" s="22"/>
      <c r="M122" s="2"/>
      <c r="N122" s="23"/>
      <c r="O122" s="19"/>
      <c r="P122" s="19"/>
      <c r="Q122" s="19"/>
      <c r="R122" s="33"/>
      <c r="T122" s="57"/>
      <c r="U122" s="2"/>
      <c r="V122" s="2"/>
      <c r="W122" s="199">
        <f>[2]WA!U83</f>
        <v>3751</v>
      </c>
      <c r="X122" s="198"/>
      <c r="Y122" s="198"/>
      <c r="Z122" s="198"/>
      <c r="AA122" s="274"/>
      <c r="AB122" s="21"/>
      <c r="AC122" s="21"/>
      <c r="AD122" s="21"/>
      <c r="AE122" s="21"/>
      <c r="AF122" s="70"/>
      <c r="AG122" s="20"/>
      <c r="AH122" s="21"/>
      <c r="AI122" s="21"/>
      <c r="AJ122" s="22">
        <f>W122</f>
        <v>3751</v>
      </c>
      <c r="AK122" s="29"/>
      <c r="AL122" s="19"/>
      <c r="AM122" s="57"/>
      <c r="AN122" s="2"/>
      <c r="AO122" s="2"/>
      <c r="AP122" s="63"/>
      <c r="AQ122" s="68"/>
      <c r="AR122" s="21"/>
      <c r="AS122" s="21"/>
      <c r="AT122" s="21"/>
      <c r="AU122" s="240"/>
      <c r="AV122" s="19"/>
      <c r="AW122" s="195"/>
      <c r="AX122" s="2"/>
      <c r="AY122" s="238"/>
      <c r="BB122" s="19"/>
      <c r="BC122" s="24"/>
      <c r="BG122" s="147" t="s">
        <v>8</v>
      </c>
      <c r="BH122" s="52">
        <f>Q132/1000</f>
        <v>87.015088639317696</v>
      </c>
      <c r="BI122" s="52">
        <f>AJ132/1000</f>
        <v>26.667000000000002</v>
      </c>
      <c r="BJ122" s="52">
        <f>BB132/1000</f>
        <v>0</v>
      </c>
      <c r="BK122" s="137">
        <f t="shared" si="21"/>
        <v>0.2345752116202503</v>
      </c>
      <c r="BL122" s="52">
        <f t="shared" si="22"/>
        <v>113.6820886393177</v>
      </c>
      <c r="BU122" s="106"/>
      <c r="BV122" s="106"/>
      <c r="BW122" s="106"/>
      <c r="BX122" s="106"/>
      <c r="BY122" s="106"/>
      <c r="BZ122" s="106"/>
      <c r="CA122" s="106"/>
      <c r="CB122" s="106"/>
    </row>
    <row r="123" spans="1:80">
      <c r="A123" s="699"/>
      <c r="B123" s="23"/>
      <c r="C123" s="17" t="s">
        <v>31</v>
      </c>
      <c r="D123" s="57"/>
      <c r="E123" s="2"/>
      <c r="F123" s="2"/>
      <c r="G123" s="63"/>
      <c r="H123" s="2"/>
      <c r="I123" s="20"/>
      <c r="J123" s="21"/>
      <c r="K123" s="21"/>
      <c r="L123" s="22"/>
      <c r="M123" s="2"/>
      <c r="N123" s="23"/>
      <c r="O123" s="19"/>
      <c r="P123" s="19"/>
      <c r="Q123" s="19"/>
      <c r="R123" s="33"/>
      <c r="T123" s="57"/>
      <c r="U123" s="2"/>
      <c r="V123" s="2"/>
      <c r="W123" s="199">
        <f>[2]WA!U84</f>
        <v>6700</v>
      </c>
      <c r="X123" s="198"/>
      <c r="Y123" s="198"/>
      <c r="Z123" s="198"/>
      <c r="AA123" s="274"/>
      <c r="AB123" s="21"/>
      <c r="AC123" s="21"/>
      <c r="AD123" s="21"/>
      <c r="AE123" s="21"/>
      <c r="AF123" s="70"/>
      <c r="AG123" s="20"/>
      <c r="AH123" s="21"/>
      <c r="AI123" s="21"/>
      <c r="AJ123" s="22">
        <f>W123</f>
        <v>6700</v>
      </c>
      <c r="AK123" s="29"/>
      <c r="AL123" s="19"/>
      <c r="AM123" s="57"/>
      <c r="AN123" s="2"/>
      <c r="AO123" s="2"/>
      <c r="AP123" s="63"/>
      <c r="AQ123" s="68"/>
      <c r="AR123" s="21"/>
      <c r="AS123" s="21"/>
      <c r="AT123" s="21"/>
      <c r="AU123" s="240"/>
      <c r="AV123" s="19"/>
      <c r="AW123" s="195"/>
      <c r="AX123" s="2"/>
      <c r="AY123" s="238"/>
      <c r="BB123" s="19"/>
      <c r="BC123" s="24"/>
      <c r="BG123" s="147" t="s">
        <v>7</v>
      </c>
      <c r="BH123" s="52">
        <f>Q135/1000</f>
        <v>62.693644884875731</v>
      </c>
      <c r="BI123" s="52">
        <f>AJ135/1000</f>
        <v>53.396000000000001</v>
      </c>
      <c r="BJ123" s="52">
        <f>BB135/1000</f>
        <v>5.5471427341471324</v>
      </c>
      <c r="BK123" s="137">
        <f t="shared" si="21"/>
        <v>0.48458319138419087</v>
      </c>
      <c r="BL123" s="52">
        <f t="shared" si="22"/>
        <v>121.63678761902285</v>
      </c>
    </row>
    <row r="124" spans="1:80">
      <c r="A124" s="699"/>
      <c r="B124" s="23"/>
      <c r="C124" s="17" t="s">
        <v>32</v>
      </c>
      <c r="D124" s="57"/>
      <c r="E124" s="2"/>
      <c r="F124" s="2"/>
      <c r="G124" s="63"/>
      <c r="H124" s="2"/>
      <c r="I124" s="20"/>
      <c r="J124" s="21"/>
      <c r="K124" s="21"/>
      <c r="L124" s="22"/>
      <c r="M124" s="2"/>
      <c r="N124" s="23"/>
      <c r="O124" s="19"/>
      <c r="P124" s="19"/>
      <c r="Q124" s="19"/>
      <c r="R124" s="33"/>
      <c r="T124" s="57"/>
      <c r="U124" s="2"/>
      <c r="V124" s="2"/>
      <c r="W124" s="199">
        <f>[2]WA!U85</f>
        <v>652</v>
      </c>
      <c r="X124" s="198"/>
      <c r="Y124" s="198"/>
      <c r="Z124" s="198"/>
      <c r="AA124" s="274"/>
      <c r="AB124" s="21"/>
      <c r="AC124" s="21"/>
      <c r="AD124" s="21"/>
      <c r="AE124" s="21"/>
      <c r="AF124" s="70"/>
      <c r="AG124" s="20"/>
      <c r="AH124" s="21"/>
      <c r="AI124" s="21"/>
      <c r="AJ124" s="22">
        <f>W124</f>
        <v>652</v>
      </c>
      <c r="AK124" s="29"/>
      <c r="AL124" s="19"/>
      <c r="AM124" s="57"/>
      <c r="AN124" s="2"/>
      <c r="AO124" s="2"/>
      <c r="AP124" s="63"/>
      <c r="AQ124" s="68"/>
      <c r="AR124" s="21"/>
      <c r="AS124" s="21"/>
      <c r="AT124" s="21"/>
      <c r="AU124" s="240"/>
      <c r="AV124" s="19"/>
      <c r="AW124" s="195"/>
      <c r="AX124" s="2"/>
      <c r="AY124" s="238"/>
      <c r="BB124" s="19"/>
      <c r="BC124" s="24"/>
      <c r="BG124" s="147" t="s">
        <v>11</v>
      </c>
      <c r="BH124" s="52">
        <f>Q140/1000</f>
        <v>8.9231183648579275</v>
      </c>
      <c r="BI124" s="52">
        <f>AJ140/1000</f>
        <v>0</v>
      </c>
      <c r="BJ124" s="52">
        <f>BB140/1000</f>
        <v>0</v>
      </c>
      <c r="BK124" s="137">
        <f t="shared" si="21"/>
        <v>0</v>
      </c>
      <c r="BL124" s="52">
        <f t="shared" si="22"/>
        <v>8.9231183648579275</v>
      </c>
    </row>
    <row r="125" spans="1:80" s="90" customFormat="1">
      <c r="A125" s="699"/>
      <c r="B125" s="91" t="s">
        <v>42</v>
      </c>
      <c r="C125" s="92"/>
      <c r="D125" s="93"/>
      <c r="E125" s="94"/>
      <c r="F125" s="94"/>
      <c r="G125" s="95"/>
      <c r="H125" s="94"/>
      <c r="I125" s="96"/>
      <c r="J125" s="97"/>
      <c r="K125" s="97"/>
      <c r="L125" s="98"/>
      <c r="M125" s="94"/>
      <c r="N125" s="96"/>
      <c r="O125" s="97"/>
      <c r="P125" s="97"/>
      <c r="Q125" s="97"/>
      <c r="R125" s="99"/>
      <c r="T125" s="93"/>
      <c r="U125" s="94"/>
      <c r="V125" s="94"/>
      <c r="W125" s="211"/>
      <c r="X125" s="289"/>
      <c r="Y125" s="289"/>
      <c r="Z125" s="289"/>
      <c r="AA125" s="280"/>
      <c r="AB125" s="97"/>
      <c r="AC125" s="97"/>
      <c r="AD125" s="97"/>
      <c r="AE125" s="97"/>
      <c r="AF125" s="101"/>
      <c r="AG125" s="96"/>
      <c r="AH125" s="97"/>
      <c r="AI125" s="97"/>
      <c r="AJ125" s="98">
        <f>SUM(AJ122:AJ124)</f>
        <v>11103</v>
      </c>
      <c r="AK125" s="102">
        <f>SUM(AK122:AK124)</f>
        <v>0</v>
      </c>
      <c r="AL125" s="103"/>
      <c r="AM125" s="93"/>
      <c r="AN125" s="94"/>
      <c r="AO125" s="94"/>
      <c r="AP125" s="95"/>
      <c r="AQ125" s="100"/>
      <c r="AR125" s="97"/>
      <c r="AS125" s="128"/>
      <c r="AT125" s="128"/>
      <c r="AU125" s="104"/>
      <c r="AV125" s="97"/>
      <c r="AW125" s="98"/>
      <c r="AX125" s="94"/>
      <c r="AY125" s="239"/>
      <c r="BB125" s="97"/>
      <c r="BC125" s="105"/>
      <c r="BG125" s="147" t="s">
        <v>1</v>
      </c>
      <c r="BH125" s="52">
        <f>Q141/1000</f>
        <v>360.91922860962569</v>
      </c>
      <c r="BI125" s="52">
        <f>AJ141/1000</f>
        <v>270.67149999999998</v>
      </c>
      <c r="BJ125" s="52">
        <f>BB141/1000</f>
        <v>0</v>
      </c>
      <c r="BK125" s="137">
        <f t="shared" si="21"/>
        <v>0.42855521422211523</v>
      </c>
      <c r="BL125" s="52">
        <f t="shared" si="22"/>
        <v>631.59072860962567</v>
      </c>
      <c r="BM125" s="6"/>
      <c r="BN125" s="6"/>
      <c r="BO125" s="6"/>
      <c r="BU125" s="6"/>
      <c r="BV125" s="6"/>
      <c r="BW125" s="6"/>
      <c r="BX125" s="6"/>
      <c r="BY125" s="6"/>
      <c r="BZ125" s="6"/>
      <c r="CA125" s="6"/>
      <c r="CB125" s="6"/>
    </row>
    <row r="126" spans="1:80">
      <c r="A126" s="699"/>
      <c r="B126" s="23"/>
      <c r="C126" s="17" t="s">
        <v>33</v>
      </c>
      <c r="D126" s="57"/>
      <c r="E126" s="2"/>
      <c r="F126" s="2"/>
      <c r="G126" s="63"/>
      <c r="H126" s="2"/>
      <c r="I126" s="20"/>
      <c r="J126" s="21"/>
      <c r="K126" s="21"/>
      <c r="L126" s="22"/>
      <c r="M126" s="2"/>
      <c r="N126" s="23"/>
      <c r="O126" s="19"/>
      <c r="P126" s="19"/>
      <c r="Q126" s="19"/>
      <c r="R126" s="33"/>
      <c r="T126" s="57"/>
      <c r="U126" s="2"/>
      <c r="V126" s="2"/>
      <c r="W126" s="199">
        <f>[2]WA!U87</f>
        <v>3685</v>
      </c>
      <c r="X126" s="198"/>
      <c r="Y126" s="198"/>
      <c r="Z126" s="198"/>
      <c r="AA126" s="274"/>
      <c r="AB126" s="21"/>
      <c r="AC126" s="21"/>
      <c r="AD126" s="21"/>
      <c r="AE126" s="21"/>
      <c r="AF126" s="70"/>
      <c r="AG126" s="20"/>
      <c r="AH126" s="21"/>
      <c r="AI126" s="21"/>
      <c r="AJ126" s="22">
        <f>W126</f>
        <v>3685</v>
      </c>
      <c r="AK126" s="29"/>
      <c r="AL126" s="19"/>
      <c r="AM126" s="57"/>
      <c r="AN126" s="2"/>
      <c r="AO126" s="2"/>
      <c r="AP126" s="63"/>
      <c r="AQ126" s="68"/>
      <c r="AR126" s="21"/>
      <c r="AS126" s="21"/>
      <c r="AT126" s="21"/>
      <c r="AU126" s="240"/>
      <c r="AV126" s="19"/>
      <c r="AW126" s="195"/>
      <c r="AX126" s="2"/>
      <c r="AY126" s="238"/>
      <c r="BB126" s="19"/>
      <c r="BC126" s="24"/>
      <c r="BG126" s="142"/>
      <c r="BU126" s="90"/>
      <c r="BV126" s="90"/>
      <c r="BW126" s="90"/>
      <c r="BX126" s="90"/>
      <c r="BY126" s="90"/>
      <c r="BZ126" s="90"/>
      <c r="CA126" s="90"/>
      <c r="CB126" s="90"/>
    </row>
    <row r="127" spans="1:80">
      <c r="A127" s="699"/>
      <c r="B127" s="23"/>
      <c r="C127" s="17" t="s">
        <v>34</v>
      </c>
      <c r="D127" s="57"/>
      <c r="E127" s="2"/>
      <c r="F127" s="2"/>
      <c r="G127" s="63"/>
      <c r="H127" s="2"/>
      <c r="I127" s="20"/>
      <c r="J127" s="21"/>
      <c r="K127" s="21"/>
      <c r="L127" s="22"/>
      <c r="M127" s="2"/>
      <c r="N127" s="23"/>
      <c r="O127" s="19"/>
      <c r="P127" s="19"/>
      <c r="Q127" s="19"/>
      <c r="R127" s="33"/>
      <c r="T127" s="57"/>
      <c r="U127" s="2"/>
      <c r="V127" s="2"/>
      <c r="W127" s="199">
        <f>[2]WA!U88</f>
        <v>2983</v>
      </c>
      <c r="X127" s="198"/>
      <c r="Y127" s="198"/>
      <c r="Z127" s="198"/>
      <c r="AA127" s="274"/>
      <c r="AB127" s="21"/>
      <c r="AC127" s="21"/>
      <c r="AD127" s="21"/>
      <c r="AE127" s="21"/>
      <c r="AF127" s="70"/>
      <c r="AG127" s="20"/>
      <c r="AH127" s="21"/>
      <c r="AI127" s="21"/>
      <c r="AJ127" s="22">
        <f>W127</f>
        <v>2983</v>
      </c>
      <c r="AK127" s="29"/>
      <c r="AL127" s="19"/>
      <c r="AM127" s="57"/>
      <c r="AN127" s="2"/>
      <c r="AO127" s="2"/>
      <c r="AP127" s="63"/>
      <c r="AQ127" s="68"/>
      <c r="AR127" s="21"/>
      <c r="AS127" s="21"/>
      <c r="AT127" s="21"/>
      <c r="AU127" s="240"/>
      <c r="AV127" s="19"/>
      <c r="AW127" s="195"/>
      <c r="AX127" s="2"/>
      <c r="AY127" s="238"/>
      <c r="BB127" s="19"/>
      <c r="BC127" s="24"/>
    </row>
    <row r="128" spans="1:80">
      <c r="A128" s="699"/>
      <c r="B128" s="23"/>
      <c r="C128" s="17" t="s">
        <v>35</v>
      </c>
      <c r="D128" s="57"/>
      <c r="E128" s="2"/>
      <c r="F128" s="2"/>
      <c r="G128" s="63"/>
      <c r="H128" s="2"/>
      <c r="I128" s="20"/>
      <c r="J128" s="21"/>
      <c r="K128" s="21"/>
      <c r="L128" s="22"/>
      <c r="M128" s="2"/>
      <c r="N128" s="23"/>
      <c r="O128" s="19"/>
      <c r="P128" s="19"/>
      <c r="Q128" s="19"/>
      <c r="R128" s="33"/>
      <c r="T128" s="57"/>
      <c r="U128" s="2"/>
      <c r="V128" s="2"/>
      <c r="W128" s="199">
        <f>[2]WA!U89</f>
        <v>530</v>
      </c>
      <c r="X128" s="198"/>
      <c r="Y128" s="198"/>
      <c r="Z128" s="198"/>
      <c r="AA128" s="274"/>
      <c r="AB128" s="21"/>
      <c r="AC128" s="21"/>
      <c r="AD128" s="21"/>
      <c r="AE128" s="21"/>
      <c r="AF128" s="70"/>
      <c r="AG128" s="20"/>
      <c r="AH128" s="21"/>
      <c r="AI128" s="21"/>
      <c r="AJ128" s="22">
        <f>W128</f>
        <v>530</v>
      </c>
      <c r="AK128" s="29"/>
      <c r="AL128" s="19"/>
      <c r="AM128" s="57"/>
      <c r="AN128" s="2"/>
      <c r="AO128" s="2"/>
      <c r="AP128" s="63"/>
      <c r="AQ128" s="68"/>
      <c r="AR128" s="21"/>
      <c r="AS128" s="21"/>
      <c r="AT128" s="21"/>
      <c r="AU128" s="240"/>
      <c r="AV128" s="19"/>
      <c r="AW128" s="195"/>
      <c r="AX128" s="2"/>
      <c r="AY128" s="238"/>
      <c r="BB128" s="19"/>
      <c r="BC128" s="24"/>
    </row>
    <row r="129" spans="1:80">
      <c r="A129" s="699"/>
      <c r="B129" s="23"/>
      <c r="C129" s="17" t="s">
        <v>36</v>
      </c>
      <c r="D129" s="57"/>
      <c r="E129" s="2"/>
      <c r="F129" s="2"/>
      <c r="G129" s="63"/>
      <c r="H129" s="2"/>
      <c r="I129" s="20"/>
      <c r="J129" s="21"/>
      <c r="K129" s="21"/>
      <c r="L129" s="22"/>
      <c r="M129" s="2"/>
      <c r="N129" s="23"/>
      <c r="O129" s="19"/>
      <c r="P129" s="19"/>
      <c r="Q129" s="19"/>
      <c r="R129" s="33"/>
      <c r="T129" s="57"/>
      <c r="U129" s="2"/>
      <c r="V129" s="2"/>
      <c r="W129" s="199">
        <f>[2]WA!U90</f>
        <v>1117</v>
      </c>
      <c r="X129" s="198"/>
      <c r="Y129" s="198"/>
      <c r="Z129" s="198"/>
      <c r="AA129" s="274"/>
      <c r="AB129" s="21"/>
      <c r="AC129" s="21"/>
      <c r="AD129" s="21"/>
      <c r="AE129" s="21"/>
      <c r="AF129" s="70"/>
      <c r="AG129" s="20"/>
      <c r="AH129" s="21"/>
      <c r="AI129" s="21"/>
      <c r="AJ129" s="22">
        <f>W129</f>
        <v>1117</v>
      </c>
      <c r="AK129" s="29"/>
      <c r="AL129" s="19"/>
      <c r="AM129" s="57"/>
      <c r="AN129" s="2"/>
      <c r="AO129" s="2"/>
      <c r="AP129" s="63"/>
      <c r="AQ129" s="68"/>
      <c r="AR129" s="21"/>
      <c r="AS129" s="21"/>
      <c r="AT129" s="21"/>
      <c r="AU129" s="240"/>
      <c r="AV129" s="19"/>
      <c r="AW129" s="195"/>
      <c r="AX129" s="2"/>
      <c r="AY129" s="238"/>
      <c r="BB129" s="19"/>
      <c r="BC129" s="24"/>
    </row>
    <row r="130" spans="1:80" s="90" customFormat="1">
      <c r="A130" s="699"/>
      <c r="B130" s="91" t="s">
        <v>43</v>
      </c>
      <c r="C130" s="92"/>
      <c r="D130" s="93"/>
      <c r="E130" s="94"/>
      <c r="F130" s="94"/>
      <c r="G130" s="95"/>
      <c r="H130" s="94"/>
      <c r="I130" s="96"/>
      <c r="J130" s="97"/>
      <c r="K130" s="97"/>
      <c r="L130" s="98"/>
      <c r="M130" s="94"/>
      <c r="N130" s="96"/>
      <c r="O130" s="97"/>
      <c r="P130" s="97"/>
      <c r="Q130" s="97"/>
      <c r="R130" s="99"/>
      <c r="T130" s="93"/>
      <c r="U130" s="94"/>
      <c r="V130" s="94"/>
      <c r="W130" s="211"/>
      <c r="X130" s="289"/>
      <c r="Y130" s="289"/>
      <c r="Z130" s="289"/>
      <c r="AA130" s="280"/>
      <c r="AB130" s="97"/>
      <c r="AC130" s="97"/>
      <c r="AD130" s="97"/>
      <c r="AE130" s="97"/>
      <c r="AF130" s="101"/>
      <c r="AG130" s="96"/>
      <c r="AH130" s="97"/>
      <c r="AI130" s="97"/>
      <c r="AJ130" s="98">
        <f>SUM(AJ126:AJ129)</f>
        <v>8315</v>
      </c>
      <c r="AK130" s="102">
        <f>SUM(AK126:AK129)</f>
        <v>0</v>
      </c>
      <c r="AL130" s="103"/>
      <c r="AM130" s="93"/>
      <c r="AN130" s="94"/>
      <c r="AO130" s="94"/>
      <c r="AP130" s="95"/>
      <c r="AQ130" s="100"/>
      <c r="AR130" s="97"/>
      <c r="AS130" s="97"/>
      <c r="AT130" s="97"/>
      <c r="AU130" s="104"/>
      <c r="AV130" s="97"/>
      <c r="AW130" s="98"/>
      <c r="AX130" s="94"/>
      <c r="AY130" s="239"/>
      <c r="BB130" s="97"/>
      <c r="BC130" s="105"/>
      <c r="BG130" s="143"/>
      <c r="BU130" s="6"/>
      <c r="BV130" s="6"/>
      <c r="BW130" s="6"/>
      <c r="BX130" s="6"/>
      <c r="BY130" s="6"/>
      <c r="BZ130" s="6"/>
      <c r="CA130" s="6"/>
      <c r="CB130" s="6"/>
    </row>
    <row r="131" spans="1:80" s="106" customFormat="1">
      <c r="A131" s="699"/>
      <c r="B131" s="107" t="s">
        <v>67</v>
      </c>
      <c r="C131" s="108"/>
      <c r="D131" s="109"/>
      <c r="E131" s="110"/>
      <c r="F131" s="110"/>
      <c r="G131" s="111"/>
      <c r="H131" s="110"/>
      <c r="I131" s="112">
        <f>D144*[2]WA!$F$384</f>
        <v>95204.877118253557</v>
      </c>
      <c r="J131" s="113">
        <f>E144*[2]WA!J$351</f>
        <v>133997.24799424061</v>
      </c>
      <c r="K131" s="113">
        <f>F144*[2]WA!K$351</f>
        <v>8151.4009040359715</v>
      </c>
      <c r="L131" s="114">
        <f>SUM(I131:K131)</f>
        <v>237353.52601653014</v>
      </c>
      <c r="M131" s="110"/>
      <c r="N131" s="112">
        <f t="shared" ref="N131:P132" si="23">I131-AU131</f>
        <v>95204.877118253557</v>
      </c>
      <c r="O131" s="113">
        <f t="shared" si="23"/>
        <v>133997.24799424061</v>
      </c>
      <c r="P131" s="113">
        <f t="shared" si="23"/>
        <v>8151.4009040359715</v>
      </c>
      <c r="Q131" s="114">
        <f>SUM(N131:P131)</f>
        <v>237353.52601653014</v>
      </c>
      <c r="R131" s="115">
        <f>Q131/[2]Popn!$I$41*1000</f>
        <v>106.73003043976645</v>
      </c>
      <c r="T131" s="202"/>
      <c r="U131" s="130"/>
      <c r="V131" s="130"/>
      <c r="W131" s="203"/>
      <c r="X131" s="130"/>
      <c r="Y131" s="130"/>
      <c r="Z131" s="130"/>
      <c r="AA131" s="276"/>
      <c r="AB131" s="113"/>
      <c r="AC131" s="113"/>
      <c r="AD131" s="113"/>
      <c r="AE131" s="113"/>
      <c r="AF131" s="117"/>
      <c r="AG131" s="112"/>
      <c r="AH131" s="113"/>
      <c r="AI131" s="113"/>
      <c r="AJ131" s="114">
        <f>AJ125+AJ130</f>
        <v>19418</v>
      </c>
      <c r="AK131" s="115">
        <f>AK125+AK130</f>
        <v>0</v>
      </c>
      <c r="AL131" s="119"/>
      <c r="AM131" s="109"/>
      <c r="AN131" s="110"/>
      <c r="AO131" s="110"/>
      <c r="AP131" s="111"/>
      <c r="AQ131" s="116"/>
      <c r="AR131" s="113"/>
      <c r="AS131" s="113"/>
      <c r="AT131" s="113"/>
      <c r="AU131" s="120"/>
      <c r="AV131" s="113"/>
      <c r="AW131" s="114"/>
      <c r="AX131" s="110"/>
      <c r="AY131" s="237"/>
      <c r="BB131" s="113"/>
      <c r="BC131" s="118">
        <f>BB131/[2]Popn!$I$41*1000</f>
        <v>0</v>
      </c>
      <c r="BG131" s="144"/>
      <c r="BU131" s="90"/>
      <c r="BV131" s="90"/>
      <c r="BW131" s="90"/>
      <c r="BX131" s="90"/>
      <c r="BY131" s="90"/>
      <c r="BZ131" s="90"/>
      <c r="CA131" s="90"/>
      <c r="CB131" s="90"/>
    </row>
    <row r="132" spans="1:80" s="106" customFormat="1">
      <c r="A132" s="699"/>
      <c r="B132" s="37" t="s">
        <v>8</v>
      </c>
      <c r="C132" s="129" t="s">
        <v>8</v>
      </c>
      <c r="D132" s="109"/>
      <c r="E132" s="110"/>
      <c r="F132" s="110"/>
      <c r="G132" s="111"/>
      <c r="H132" s="110"/>
      <c r="I132" s="112">
        <f>D144*[2]WA!$F$385</f>
        <v>73234.520860195043</v>
      </c>
      <c r="J132" s="113">
        <f>E144*[2]WA!J$352</f>
        <v>12761.642666118152</v>
      </c>
      <c r="K132" s="113">
        <f>F144*[2]WA!K$352</f>
        <v>1018.9251130044964</v>
      </c>
      <c r="L132" s="114">
        <f>SUM(I132:K132)</f>
        <v>87015.088639317692</v>
      </c>
      <c r="M132" s="110"/>
      <c r="N132" s="112">
        <f t="shared" si="23"/>
        <v>73234.520860195043</v>
      </c>
      <c r="O132" s="113">
        <f t="shared" si="23"/>
        <v>12761.642666118152</v>
      </c>
      <c r="P132" s="113">
        <f t="shared" si="23"/>
        <v>1018.9251130044964</v>
      </c>
      <c r="Q132" s="114">
        <f>SUM(N132:P132)</f>
        <v>87015.088639317692</v>
      </c>
      <c r="R132" s="115">
        <f>Q132/[2]Popn!$I$41*1000</f>
        <v>39.127807431630757</v>
      </c>
      <c r="T132" s="109"/>
      <c r="U132" s="110"/>
      <c r="V132" s="253"/>
      <c r="W132" s="199">
        <f>[2]WA!U93</f>
        <v>26667</v>
      </c>
      <c r="X132" s="198"/>
      <c r="Y132" s="198"/>
      <c r="Z132" s="198"/>
      <c r="AA132" s="276"/>
      <c r="AB132" s="113"/>
      <c r="AC132" s="113"/>
      <c r="AD132" s="113"/>
      <c r="AE132" s="113"/>
      <c r="AF132" s="117"/>
      <c r="AG132" s="112"/>
      <c r="AH132" s="113"/>
      <c r="AI132" s="113"/>
      <c r="AJ132" s="114">
        <f t="shared" ref="AJ132:AJ139" si="24">W132</f>
        <v>26667</v>
      </c>
      <c r="AK132" s="118">
        <f>AJ132/[2]Popn!$I$41*1000</f>
        <v>11.991267917962317</v>
      </c>
      <c r="AL132" s="119"/>
      <c r="AM132" s="109"/>
      <c r="AN132" s="110"/>
      <c r="AO132" s="110"/>
      <c r="AP132" s="111"/>
      <c r="AQ132" s="116"/>
      <c r="AR132" s="113"/>
      <c r="AS132" s="113"/>
      <c r="AT132" s="113"/>
      <c r="AU132" s="120"/>
      <c r="AV132" s="113"/>
      <c r="AW132" s="114"/>
      <c r="AX132" s="110"/>
      <c r="AY132" s="237"/>
      <c r="BB132" s="113"/>
      <c r="BC132" s="121"/>
      <c r="BG132" s="144"/>
    </row>
    <row r="133" spans="1:80">
      <c r="A133" s="699"/>
      <c r="B133" s="23" t="s">
        <v>7</v>
      </c>
      <c r="C133" s="17" t="s">
        <v>9</v>
      </c>
      <c r="D133" s="57"/>
      <c r="E133" s="2"/>
      <c r="F133" s="2"/>
      <c r="G133" s="63"/>
      <c r="H133" s="2"/>
      <c r="I133" s="20"/>
      <c r="J133" s="21"/>
      <c r="K133" s="21"/>
      <c r="L133" s="22"/>
      <c r="M133" s="2"/>
      <c r="N133" s="20"/>
      <c r="O133" s="21"/>
      <c r="P133" s="21"/>
      <c r="Q133" s="22"/>
      <c r="R133" s="34"/>
      <c r="T133" s="57"/>
      <c r="U133" s="2"/>
      <c r="V133" s="252"/>
      <c r="W133" s="199">
        <f>[2]WA!U94</f>
        <v>51361</v>
      </c>
      <c r="X133" s="198"/>
      <c r="Y133" s="198"/>
      <c r="Z133" s="198"/>
      <c r="AA133" s="274"/>
      <c r="AB133" s="21"/>
      <c r="AC133" s="21"/>
      <c r="AD133" s="21"/>
      <c r="AE133" s="21"/>
      <c r="AF133" s="70"/>
      <c r="AG133" s="20"/>
      <c r="AH133" s="21"/>
      <c r="AI133" s="21"/>
      <c r="AJ133" s="22">
        <f t="shared" si="24"/>
        <v>51361</v>
      </c>
      <c r="AK133" s="29">
        <f>AJ133/[2]Popn!$I$41*1000</f>
        <v>23.095342990754961</v>
      </c>
      <c r="AL133" s="19"/>
      <c r="AM133" s="57"/>
      <c r="AN133" s="2"/>
      <c r="AO133" s="2"/>
      <c r="AP133" s="63"/>
      <c r="AQ133" s="68"/>
      <c r="AR133" s="21"/>
      <c r="AS133" s="35"/>
      <c r="AT133" s="21"/>
      <c r="AU133" s="25"/>
      <c r="AV133" s="21"/>
      <c r="AW133" s="22"/>
      <c r="AX133" s="2"/>
      <c r="AY133" s="238"/>
      <c r="BB133" s="21"/>
      <c r="BC133" s="29"/>
      <c r="BU133" s="106"/>
      <c r="BV133" s="106"/>
      <c r="BW133" s="106"/>
      <c r="BX133" s="106"/>
      <c r="BY133" s="106"/>
      <c r="BZ133" s="106"/>
      <c r="CA133" s="106"/>
      <c r="CB133" s="106"/>
    </row>
    <row r="134" spans="1:80">
      <c r="A134" s="699"/>
      <c r="B134" s="23"/>
      <c r="C134" s="17" t="s">
        <v>10</v>
      </c>
      <c r="D134" s="57"/>
      <c r="E134" s="2"/>
      <c r="F134" s="2"/>
      <c r="G134" s="63"/>
      <c r="H134" s="2"/>
      <c r="I134" s="20"/>
      <c r="J134" s="21"/>
      <c r="K134" s="21"/>
      <c r="L134" s="22"/>
      <c r="M134" s="2"/>
      <c r="N134" s="20"/>
      <c r="O134" s="21"/>
      <c r="P134" s="21"/>
      <c r="Q134" s="22"/>
      <c r="R134" s="33"/>
      <c r="T134" s="57"/>
      <c r="U134" s="2"/>
      <c r="V134" s="252"/>
      <c r="W134" s="199">
        <f>[2]WA!U95</f>
        <v>2035</v>
      </c>
      <c r="X134" s="198"/>
      <c r="Y134" s="198"/>
      <c r="Z134" s="198"/>
      <c r="AA134" s="274"/>
      <c r="AB134" s="21"/>
      <c r="AC134" s="21"/>
      <c r="AD134" s="21"/>
      <c r="AE134" s="21"/>
      <c r="AF134" s="70"/>
      <c r="AG134" s="20"/>
      <c r="AH134" s="21"/>
      <c r="AI134" s="21"/>
      <c r="AJ134" s="22">
        <f t="shared" si="24"/>
        <v>2035</v>
      </c>
      <c r="AK134" s="29">
        <f>AJ134/[2]Popn!$I$41*1000</f>
        <v>0.9150721945870669</v>
      </c>
      <c r="AL134" s="19"/>
      <c r="AM134" s="57"/>
      <c r="AN134" s="2"/>
      <c r="AO134" s="2"/>
      <c r="AP134" s="63"/>
      <c r="AQ134" s="68"/>
      <c r="AR134" s="21"/>
      <c r="AS134" s="21"/>
      <c r="AT134" s="21"/>
      <c r="AU134" s="240"/>
      <c r="AV134" s="21"/>
      <c r="AW134" s="195"/>
      <c r="AX134" s="2"/>
      <c r="AY134" s="238"/>
      <c r="BB134" s="21"/>
      <c r="BC134" s="29"/>
    </row>
    <row r="135" spans="1:80" s="106" customFormat="1">
      <c r="A135" s="699"/>
      <c r="B135" s="107" t="s">
        <v>67</v>
      </c>
      <c r="C135" s="108"/>
      <c r="D135" s="109"/>
      <c r="E135" s="110"/>
      <c r="F135" s="110"/>
      <c r="G135" s="111"/>
      <c r="H135" s="110"/>
      <c r="I135" s="112">
        <f>D144*[2]WA!$F$386</f>
        <v>14646.904172039009</v>
      </c>
      <c r="J135" s="113">
        <f>E144*[2]WA!J$353</f>
        <v>51046.570664472609</v>
      </c>
      <c r="K135" s="113">
        <f>F144*[2]WA!K$353</f>
        <v>2547.312782511241</v>
      </c>
      <c r="L135" s="114">
        <f>SUM(I135:K135)</f>
        <v>68240.787619022871</v>
      </c>
      <c r="M135" s="110"/>
      <c r="N135" s="112">
        <f>I135-AU135</f>
        <v>13456.289718564756</v>
      </c>
      <c r="O135" s="113">
        <f>J135-AV135</f>
        <v>46897.107807370085</v>
      </c>
      <c r="P135" s="113">
        <f>K135-AW135</f>
        <v>2340.2473589408901</v>
      </c>
      <c r="Q135" s="114">
        <f>SUM(N135:P135)</f>
        <v>62693.644884875728</v>
      </c>
      <c r="R135" s="115">
        <f>Q135/[2]Popn!$I$41*1000</f>
        <v>28.191258580572715</v>
      </c>
      <c r="T135" s="109"/>
      <c r="U135" s="110"/>
      <c r="V135" s="110"/>
      <c r="W135" s="203"/>
      <c r="X135" s="130"/>
      <c r="Y135" s="130"/>
      <c r="Z135" s="130"/>
      <c r="AA135" s="276"/>
      <c r="AB135" s="113"/>
      <c r="AC135" s="113"/>
      <c r="AD135" s="113"/>
      <c r="AE135" s="113"/>
      <c r="AF135" s="117"/>
      <c r="AG135" s="112"/>
      <c r="AH135" s="113"/>
      <c r="AI135" s="113"/>
      <c r="AJ135" s="114">
        <f>SUM(AJ133:AJ134)</f>
        <v>53396</v>
      </c>
      <c r="AK135" s="118">
        <f>SUM(AK133:AK134)</f>
        <v>24.01041518534203</v>
      </c>
      <c r="AL135" s="119"/>
      <c r="AM135" s="109"/>
      <c r="AN135" s="110"/>
      <c r="AO135" s="110"/>
      <c r="AP135" s="111"/>
      <c r="AQ135" s="116"/>
      <c r="AR135" s="113">
        <f>L135*'[2]Lfill en &amp; composn'!$D$25</f>
        <v>10747.924049996102</v>
      </c>
      <c r="AS135" s="113">
        <f>AR135/SUM($AR$7:$AR$49)</f>
        <v>4.8616944169831866E-2</v>
      </c>
      <c r="AT135" s="113">
        <f>AS135*'[2]Lfill en &amp; composn'!$I$64/'[2]Lfill en &amp; composn'!$B$25</f>
        <v>5547.1427341471326</v>
      </c>
      <c r="AU135" s="120">
        <f>$AT135*I135/SUM($I135:$K135)</f>
        <v>1190.6144534742532</v>
      </c>
      <c r="AV135" s="113">
        <f>$AT135*J135/SUM($I135:$K135)</f>
        <v>4149.4628571025269</v>
      </c>
      <c r="AW135" s="114">
        <f>$AT135*K135/SUM($I135:$K135)</f>
        <v>207.06542357035116</v>
      </c>
      <c r="AX135" s="110"/>
      <c r="AY135" s="241">
        <f>AU135</f>
        <v>1190.6144534742532</v>
      </c>
      <c r="AZ135" s="242">
        <f>AV135</f>
        <v>4149.4628571025269</v>
      </c>
      <c r="BA135" s="242">
        <f>AW135</f>
        <v>207.06542357035116</v>
      </c>
      <c r="BB135" s="114">
        <f>AT135+AP135</f>
        <v>5547.1427341471326</v>
      </c>
      <c r="BC135" s="118">
        <f>BB135/[2]Popn!$I$41*1000</f>
        <v>2.4943666218298377</v>
      </c>
      <c r="BD135" s="122"/>
      <c r="BG135" s="144"/>
      <c r="BU135" s="6"/>
      <c r="BV135" s="6"/>
      <c r="BW135" s="6"/>
      <c r="BX135" s="6"/>
      <c r="BY135" s="6"/>
      <c r="BZ135" s="6"/>
      <c r="CA135" s="6"/>
      <c r="CB135" s="6"/>
    </row>
    <row r="136" spans="1:80">
      <c r="A136" s="699"/>
      <c r="B136" s="23" t="s">
        <v>11</v>
      </c>
      <c r="C136" s="17" t="s">
        <v>12</v>
      </c>
      <c r="D136" s="57"/>
      <c r="E136" s="2"/>
      <c r="F136" s="2"/>
      <c r="G136" s="63"/>
      <c r="H136" s="2"/>
      <c r="I136" s="20"/>
      <c r="J136" s="21"/>
      <c r="K136" s="21"/>
      <c r="L136" s="22"/>
      <c r="M136" s="729" t="s">
        <v>97</v>
      </c>
      <c r="N136" s="20"/>
      <c r="O136" s="21"/>
      <c r="P136" s="21"/>
      <c r="Q136" s="22"/>
      <c r="R136" s="33"/>
      <c r="T136" s="57"/>
      <c r="U136" s="2"/>
      <c r="V136" s="2"/>
      <c r="W136" s="199"/>
      <c r="X136" s="198"/>
      <c r="Y136" s="198"/>
      <c r="Z136" s="198"/>
      <c r="AA136" s="274"/>
      <c r="AB136" s="21"/>
      <c r="AC136" s="21"/>
      <c r="AD136" s="21"/>
      <c r="AE136" s="21"/>
      <c r="AF136" s="70"/>
      <c r="AG136" s="20"/>
      <c r="AH136" s="21"/>
      <c r="AI136" s="21"/>
      <c r="AJ136" s="22">
        <f t="shared" si="24"/>
        <v>0</v>
      </c>
      <c r="AK136" s="29"/>
      <c r="AL136" s="19"/>
      <c r="AM136" s="57"/>
      <c r="AN136" s="2"/>
      <c r="AO136" s="2"/>
      <c r="AP136" s="63"/>
      <c r="AQ136" s="68"/>
      <c r="AR136" s="21"/>
      <c r="AS136" s="21"/>
      <c r="AT136" s="21"/>
      <c r="AU136" s="25"/>
      <c r="AV136" s="21"/>
      <c r="AW136" s="22"/>
      <c r="AX136" s="2"/>
      <c r="AY136" s="23"/>
      <c r="AZ136" s="19"/>
      <c r="BA136" s="19"/>
      <c r="BB136" s="19"/>
      <c r="BC136" s="24"/>
      <c r="BU136" s="106"/>
      <c r="BV136" s="106"/>
      <c r="BW136" s="106"/>
      <c r="BX136" s="106"/>
      <c r="BY136" s="106"/>
      <c r="BZ136" s="106"/>
      <c r="CA136" s="106"/>
      <c r="CB136" s="106"/>
    </row>
    <row r="137" spans="1:80">
      <c r="A137" s="699"/>
      <c r="B137" s="23"/>
      <c r="C137" s="17" t="s">
        <v>13</v>
      </c>
      <c r="D137" s="57"/>
      <c r="E137" s="2"/>
      <c r="F137" s="2"/>
      <c r="G137" s="156"/>
      <c r="H137" s="3"/>
      <c r="I137" s="20"/>
      <c r="J137" s="21"/>
      <c r="K137" s="21"/>
      <c r="L137" s="22"/>
      <c r="M137" s="729"/>
      <c r="N137" s="20"/>
      <c r="O137" s="21"/>
      <c r="P137" s="21"/>
      <c r="Q137" s="22"/>
      <c r="R137" s="34"/>
      <c r="T137" s="57"/>
      <c r="U137" s="2"/>
      <c r="V137" s="2"/>
      <c r="W137" s="199"/>
      <c r="X137" s="198"/>
      <c r="Y137" s="198"/>
      <c r="Z137" s="198"/>
      <c r="AA137" s="282"/>
      <c r="AB137" s="21"/>
      <c r="AC137" s="21"/>
      <c r="AD137" s="21"/>
      <c r="AE137" s="21"/>
      <c r="AF137" s="70"/>
      <c r="AG137" s="20"/>
      <c r="AH137" s="21"/>
      <c r="AI137" s="21"/>
      <c r="AJ137" s="22">
        <f t="shared" si="24"/>
        <v>0</v>
      </c>
      <c r="AK137" s="29"/>
      <c r="AL137" s="19"/>
      <c r="AM137" s="57"/>
      <c r="AN137" s="2"/>
      <c r="AO137" s="2"/>
      <c r="AP137" s="64"/>
      <c r="AQ137" s="69"/>
      <c r="AR137" s="21"/>
      <c r="AS137" s="21"/>
      <c r="AT137" s="21"/>
      <c r="AU137" s="25"/>
      <c r="AV137" s="21"/>
      <c r="AW137" s="22"/>
      <c r="AX137" s="2"/>
      <c r="AY137" s="20"/>
      <c r="AZ137" s="21"/>
      <c r="BA137" s="21"/>
      <c r="BB137" s="21"/>
      <c r="BC137" s="24"/>
    </row>
    <row r="138" spans="1:80">
      <c r="A138" s="699"/>
      <c r="B138" s="23"/>
      <c r="C138" s="17" t="s">
        <v>14</v>
      </c>
      <c r="D138" s="57"/>
      <c r="E138" s="2"/>
      <c r="F138" s="2"/>
      <c r="G138" s="156"/>
      <c r="H138" s="3"/>
      <c r="I138" s="20"/>
      <c r="J138" s="21"/>
      <c r="K138" s="21"/>
      <c r="L138" s="22"/>
      <c r="M138" s="729"/>
      <c r="N138" s="20"/>
      <c r="O138" s="21"/>
      <c r="P138" s="21"/>
      <c r="Q138" s="22"/>
      <c r="R138" s="34"/>
      <c r="T138" s="57"/>
      <c r="U138" s="2"/>
      <c r="V138" s="2"/>
      <c r="W138" s="199"/>
      <c r="X138" s="198"/>
      <c r="Y138" s="198"/>
      <c r="Z138" s="198"/>
      <c r="AA138" s="282"/>
      <c r="AB138" s="21"/>
      <c r="AC138" s="21"/>
      <c r="AD138" s="21"/>
      <c r="AE138" s="21"/>
      <c r="AF138" s="70"/>
      <c r="AG138" s="20"/>
      <c r="AH138" s="21"/>
      <c r="AI138" s="21"/>
      <c r="AJ138" s="22">
        <f t="shared" si="24"/>
        <v>0</v>
      </c>
      <c r="AK138" s="29"/>
      <c r="AL138" s="19"/>
      <c r="AM138" s="57"/>
      <c r="AN138" s="2"/>
      <c r="AO138" s="2"/>
      <c r="AP138" s="64"/>
      <c r="AQ138" s="69"/>
      <c r="AR138" s="21"/>
      <c r="AS138" s="21"/>
      <c r="AT138" s="21"/>
      <c r="AU138" s="25"/>
      <c r="AV138" s="21"/>
      <c r="AW138" s="22"/>
      <c r="AX138" s="2"/>
      <c r="AY138" s="23"/>
      <c r="AZ138" s="19"/>
      <c r="BA138" s="19"/>
      <c r="BB138" s="21"/>
      <c r="BC138" s="24"/>
    </row>
    <row r="139" spans="1:80">
      <c r="A139" s="699"/>
      <c r="B139" s="23"/>
      <c r="C139" s="17" t="s">
        <v>15</v>
      </c>
      <c r="D139" s="57"/>
      <c r="E139" s="2"/>
      <c r="F139" s="2"/>
      <c r="G139" s="156"/>
      <c r="H139" s="3"/>
      <c r="I139" s="20"/>
      <c r="J139" s="21"/>
      <c r="K139" s="21"/>
      <c r="L139" s="22"/>
      <c r="M139" s="729"/>
      <c r="N139" s="20"/>
      <c r="O139" s="21"/>
      <c r="P139" s="21"/>
      <c r="Q139" s="22"/>
      <c r="R139" s="34"/>
      <c r="T139" s="57"/>
      <c r="U139" s="2"/>
      <c r="V139" s="2"/>
      <c r="W139" s="199"/>
      <c r="X139" s="198"/>
      <c r="Y139" s="198"/>
      <c r="Z139" s="198"/>
      <c r="AA139" s="282"/>
      <c r="AB139" s="21"/>
      <c r="AC139" s="21"/>
      <c r="AD139" s="21"/>
      <c r="AE139" s="21"/>
      <c r="AF139" s="70"/>
      <c r="AG139" s="20"/>
      <c r="AH139" s="21"/>
      <c r="AI139" s="21"/>
      <c r="AJ139" s="22">
        <f t="shared" si="24"/>
        <v>0</v>
      </c>
      <c r="AK139" s="29"/>
      <c r="AL139" s="19"/>
      <c r="AM139" s="57"/>
      <c r="AN139" s="2"/>
      <c r="AO139" s="2"/>
      <c r="AP139" s="64"/>
      <c r="AQ139" s="69"/>
      <c r="AR139" s="21"/>
      <c r="AS139" s="21"/>
      <c r="AT139" s="21"/>
      <c r="AU139" s="25"/>
      <c r="AV139" s="21"/>
      <c r="AW139" s="22"/>
      <c r="AX139" s="2"/>
      <c r="AY139" s="23"/>
      <c r="AZ139" s="19"/>
      <c r="BA139" s="19"/>
      <c r="BB139" s="21"/>
      <c r="BC139" s="24"/>
    </row>
    <row r="140" spans="1:80" s="106" customFormat="1">
      <c r="A140" s="699"/>
      <c r="B140" s="107" t="s">
        <v>67</v>
      </c>
      <c r="C140" s="108"/>
      <c r="D140" s="109"/>
      <c r="E140" s="110"/>
      <c r="F140" s="110"/>
      <c r="G140" s="124"/>
      <c r="H140" s="125"/>
      <c r="I140" s="112">
        <f>D144*[2]WA!$F$387</f>
        <v>0</v>
      </c>
      <c r="J140" s="113">
        <f>E144*[2]WA!J$354</f>
        <v>3828.492799835446</v>
      </c>
      <c r="K140" s="113">
        <f>F144*[2]WA!K$354</f>
        <v>5094.6255650224821</v>
      </c>
      <c r="L140" s="114">
        <f>SUM(I140:K140)</f>
        <v>8923.1183648579281</v>
      </c>
      <c r="M140" s="110"/>
      <c r="N140" s="112">
        <f>I140-AU140</f>
        <v>0</v>
      </c>
      <c r="O140" s="113">
        <f>J140-AV140</f>
        <v>3828.492799835446</v>
      </c>
      <c r="P140" s="113">
        <f>K140-AW140</f>
        <v>5094.6255650224821</v>
      </c>
      <c r="Q140" s="114">
        <f>SUM(N140:P140)</f>
        <v>8923.1183648579281</v>
      </c>
      <c r="R140" s="115">
        <f>Q140/[2]Popn!$I$41*1000</f>
        <v>4.0124312062362186</v>
      </c>
      <c r="T140" s="109"/>
      <c r="U140" s="110"/>
      <c r="V140" s="110"/>
      <c r="W140" s="203"/>
      <c r="X140" s="130"/>
      <c r="Y140" s="130"/>
      <c r="Z140" s="130"/>
      <c r="AA140" s="284"/>
      <c r="AB140" s="113"/>
      <c r="AC140" s="113"/>
      <c r="AD140" s="113"/>
      <c r="AE140" s="113"/>
      <c r="AF140" s="117"/>
      <c r="AG140" s="112"/>
      <c r="AH140" s="113"/>
      <c r="AI140" s="113"/>
      <c r="AJ140" s="114">
        <f>SUM(AJ136:AJ139)</f>
        <v>0</v>
      </c>
      <c r="AK140" s="118">
        <f>SUM(AK136:AK139)</f>
        <v>0</v>
      </c>
      <c r="AL140" s="119"/>
      <c r="AM140" s="109"/>
      <c r="AN140" s="110"/>
      <c r="AO140" s="110"/>
      <c r="AP140" s="124"/>
      <c r="AQ140" s="126"/>
      <c r="AR140" s="113"/>
      <c r="AS140" s="113"/>
      <c r="AT140" s="113"/>
      <c r="AU140" s="120"/>
      <c r="AV140" s="113"/>
      <c r="AW140" s="114"/>
      <c r="AX140" s="110"/>
      <c r="AY140" s="127"/>
      <c r="AZ140" s="119"/>
      <c r="BA140" s="119"/>
      <c r="BB140" s="113"/>
      <c r="BC140" s="121"/>
      <c r="BG140" s="144"/>
      <c r="BU140" s="6"/>
      <c r="BV140" s="6"/>
      <c r="BW140" s="6"/>
      <c r="BX140" s="6"/>
      <c r="BY140" s="6"/>
      <c r="BZ140" s="6"/>
      <c r="CA140" s="6"/>
      <c r="CB140" s="6"/>
    </row>
    <row r="141" spans="1:80" s="106" customFormat="1" ht="13.5" thickBot="1">
      <c r="A141" s="699"/>
      <c r="B141" s="131" t="s">
        <v>37</v>
      </c>
      <c r="C141" s="132" t="s">
        <v>1</v>
      </c>
      <c r="D141" s="109"/>
      <c r="E141" s="110"/>
      <c r="F141" s="110"/>
      <c r="G141" s="203"/>
      <c r="H141" s="130">
        <f>'[2]Fly ash'!$F$262</f>
        <v>360919.22860962572</v>
      </c>
      <c r="I141" s="112"/>
      <c r="J141" s="113"/>
      <c r="K141" s="113"/>
      <c r="L141" s="114"/>
      <c r="M141" s="110"/>
      <c r="N141" s="127"/>
      <c r="O141" s="119"/>
      <c r="P141" s="119"/>
      <c r="Q141" s="113">
        <f>H141</f>
        <v>360919.22860962572</v>
      </c>
      <c r="R141" s="115">
        <f>Q141/[2]Popn!$I$41*1000</f>
        <v>162.29344009458552</v>
      </c>
      <c r="T141" s="109"/>
      <c r="U141" s="110"/>
      <c r="V141" s="110"/>
      <c r="W141" s="203"/>
      <c r="X141" s="130"/>
      <c r="Y141" s="130"/>
      <c r="Z141" s="130"/>
      <c r="AA141" s="285">
        <f>'[2]Fly ash'!$F$254</f>
        <v>270671.5</v>
      </c>
      <c r="AB141" s="113"/>
      <c r="AC141" s="113"/>
      <c r="AD141" s="113"/>
      <c r="AE141" s="113"/>
      <c r="AF141" s="117"/>
      <c r="AG141" s="112"/>
      <c r="AH141" s="113"/>
      <c r="AI141" s="113"/>
      <c r="AJ141" s="114">
        <f>AA141</f>
        <v>270671.5</v>
      </c>
      <c r="AK141" s="115">
        <f>AJ141/[2]Popn!$I$41*1000</f>
        <v>121.71202138436034</v>
      </c>
      <c r="AL141" s="119"/>
      <c r="AM141" s="109"/>
      <c r="AN141" s="110"/>
      <c r="AO141" s="110"/>
      <c r="AP141" s="111"/>
      <c r="AQ141" s="117"/>
      <c r="AR141" s="113"/>
      <c r="AS141" s="113"/>
      <c r="AT141" s="113"/>
      <c r="AU141" s="120"/>
      <c r="AV141" s="113"/>
      <c r="AW141" s="114"/>
      <c r="AX141" s="110"/>
      <c r="AY141" s="127"/>
      <c r="AZ141" s="119"/>
      <c r="BA141" s="119"/>
      <c r="BB141" s="119"/>
      <c r="BC141" s="121"/>
      <c r="BG141" s="144"/>
    </row>
    <row r="142" spans="1:80" ht="13.5" thickBot="1">
      <c r="B142" s="19"/>
      <c r="C142" s="38"/>
      <c r="D142" s="57"/>
      <c r="E142" s="2"/>
      <c r="F142" s="2"/>
      <c r="G142" s="63"/>
      <c r="H142" s="2"/>
      <c r="I142" s="20"/>
      <c r="J142" s="21"/>
      <c r="K142" s="21"/>
      <c r="L142" s="22"/>
      <c r="M142" s="2"/>
      <c r="N142" s="23"/>
      <c r="O142" s="19"/>
      <c r="P142" s="19"/>
      <c r="Q142" s="19"/>
      <c r="R142" s="24"/>
      <c r="T142" s="57"/>
      <c r="U142" s="2"/>
      <c r="V142" s="2"/>
      <c r="W142" s="63"/>
      <c r="X142" s="2"/>
      <c r="Y142" s="2"/>
      <c r="Z142" s="2"/>
      <c r="AA142" s="274"/>
      <c r="AB142" s="21"/>
      <c r="AC142" s="21"/>
      <c r="AD142" s="21"/>
      <c r="AE142" s="21"/>
      <c r="AF142" s="70"/>
      <c r="AG142" s="20"/>
      <c r="AH142" s="21"/>
      <c r="AI142" s="21"/>
      <c r="AJ142" s="22"/>
      <c r="AK142" s="29"/>
      <c r="AL142" s="19"/>
      <c r="AM142" s="57"/>
      <c r="AN142" s="2"/>
      <c r="AO142" s="2"/>
      <c r="AP142" s="63"/>
      <c r="AQ142" s="68"/>
      <c r="AR142" s="21"/>
      <c r="AS142" s="21"/>
      <c r="AT142" s="21"/>
      <c r="AU142" s="25"/>
      <c r="AV142" s="21"/>
      <c r="AW142" s="22"/>
      <c r="AX142" s="2"/>
      <c r="AY142" s="23"/>
      <c r="AZ142" s="19"/>
      <c r="BA142" s="19"/>
      <c r="BB142" s="19"/>
      <c r="BC142" s="24"/>
      <c r="BU142" s="106"/>
      <c r="BV142" s="106"/>
      <c r="BW142" s="106"/>
      <c r="BX142" s="106"/>
      <c r="BY142" s="106"/>
      <c r="BZ142" s="106"/>
      <c r="CA142" s="106"/>
      <c r="CB142" s="106"/>
    </row>
    <row r="143" spans="1:80" ht="13.5" thickBot="1">
      <c r="C143" s="39" t="s">
        <v>38</v>
      </c>
      <c r="D143" s="206"/>
      <c r="E143" s="207"/>
      <c r="F143" s="198"/>
      <c r="G143" s="208"/>
      <c r="H143" s="2"/>
      <c r="I143" s="20"/>
      <c r="J143" s="21"/>
      <c r="K143" s="21"/>
      <c r="L143" s="22"/>
      <c r="M143" s="2"/>
      <c r="N143" s="23"/>
      <c r="O143" s="19"/>
      <c r="P143" s="19"/>
      <c r="Q143" s="19"/>
      <c r="R143" s="24"/>
      <c r="T143" s="58"/>
      <c r="U143" s="59"/>
      <c r="V143" s="2"/>
      <c r="W143" s="208"/>
      <c r="X143" s="198"/>
      <c r="Y143" s="198"/>
      <c r="Z143" s="198"/>
      <c r="AA143" s="274"/>
      <c r="AB143" s="21"/>
      <c r="AC143" s="21"/>
      <c r="AD143" s="21"/>
      <c r="AE143" s="21"/>
      <c r="AF143" s="70"/>
      <c r="AG143" s="20"/>
      <c r="AH143" s="21"/>
      <c r="AI143" s="21"/>
      <c r="AJ143" s="22"/>
      <c r="AK143" s="40"/>
      <c r="AL143" s="19"/>
      <c r="AM143" s="58"/>
      <c r="AN143" s="59"/>
      <c r="AO143" s="2"/>
      <c r="AP143" s="65"/>
      <c r="AQ143" s="68"/>
      <c r="AR143" s="21"/>
      <c r="AS143" s="21"/>
      <c r="AT143" s="21"/>
      <c r="AU143" s="25"/>
      <c r="AV143" s="21"/>
      <c r="AW143" s="22"/>
      <c r="AX143" s="2"/>
      <c r="AY143" s="23"/>
      <c r="AZ143" s="19"/>
      <c r="BA143" s="19"/>
      <c r="BB143" s="19"/>
      <c r="BC143" s="24"/>
    </row>
    <row r="144" spans="1:80" ht="13.5" thickBot="1">
      <c r="C144" s="135" t="s">
        <v>92</v>
      </c>
      <c r="D144" s="134">
        <f>[2]WA!L45</f>
        <v>1098517.8129029258</v>
      </c>
      <c r="E144" s="134">
        <f>[2]WA!M45</f>
        <v>1149824.0042172461</v>
      </c>
      <c r="F144" s="134">
        <f>[2]WA!N45</f>
        <v>1794581.8552791688</v>
      </c>
      <c r="G144" s="66"/>
      <c r="H144" s="231"/>
      <c r="I144" s="41">
        <f>SUM(I140,I135,I132,I131,I121,I116,I110,I106)</f>
        <v>1098517.8129029258</v>
      </c>
      <c r="J144" s="218">
        <f>SUM(J140,J135,J132,J131,J121,J116,J110,J106)</f>
        <v>1149824.0042172456</v>
      </c>
      <c r="K144" s="218">
        <f>SUM(K140,K135,K132,K131,K121,K116,K110,K106)</f>
        <v>1794581.855279169</v>
      </c>
      <c r="L144" s="42">
        <f>SUM(L140,L135,L132,L131,L121,L116,L110,L106)</f>
        <v>4042923.6723993407</v>
      </c>
      <c r="M144" s="43"/>
      <c r="N144" s="44">
        <f>SUM(N140,N135,N132,N131,N121,N116,N110,N106)</f>
        <v>1000902.571893847</v>
      </c>
      <c r="O144" s="45">
        <f>SUM(O140,O135,O132,O131,O121,O116,O110,O106)</f>
        <v>1049967.8744655589</v>
      </c>
      <c r="P144" s="45">
        <f>SUM(P140,P135,P132,P131,P121,P116,P110,P106)</f>
        <v>1784240.8573930324</v>
      </c>
      <c r="Q144" s="133">
        <f>SUM(Q140,Q135,Q132,Q131,Q121,Q116,Q110,Q106,Q143)</f>
        <v>3835111.3037524382</v>
      </c>
      <c r="R144" s="27">
        <f>SUM(R140,R135,R132,R131,R121,R116,R110,R106)</f>
        <v>1724.522711159907</v>
      </c>
      <c r="T144" s="60"/>
      <c r="U144" s="134"/>
      <c r="V144" s="134"/>
      <c r="W144" s="66"/>
      <c r="X144" s="362"/>
      <c r="Y144" s="362"/>
      <c r="Z144" s="362"/>
      <c r="AA144" s="287"/>
      <c r="AB144" s="45"/>
      <c r="AC144" s="45"/>
      <c r="AD144" s="45"/>
      <c r="AE144" s="45"/>
      <c r="AF144" s="85"/>
      <c r="AG144" s="44">
        <f>$AJ144*[2]WA!J$113</f>
        <v>484855.17599999998</v>
      </c>
      <c r="AH144" s="45">
        <f>$AJ144*[2]WA!K$113</f>
        <v>380735.63500000001</v>
      </c>
      <c r="AI144" s="45">
        <f>$AJ144*[2]WA!L$113</f>
        <v>688432.18900000001</v>
      </c>
      <c r="AJ144" s="354">
        <f>SUM(AJ140,AJ135,AJ132,AJ131,AJ121,AJ116,AJ110,AJ106,AJ143)</f>
        <v>1554023</v>
      </c>
      <c r="AK144" s="27">
        <f>SUM(AK140,AK135,AK132,AK131,AK121,AK116,AK110,AK106,AK143)</f>
        <v>690.06111310775714</v>
      </c>
      <c r="AL144" s="19"/>
      <c r="AM144" s="60"/>
      <c r="AN144" s="706"/>
      <c r="AO144" s="707"/>
      <c r="AP144" s="66"/>
      <c r="AQ144" s="71"/>
      <c r="AR144" s="45">
        <f>SUM(AR101:AR143)</f>
        <v>233933.95159919982</v>
      </c>
      <c r="AS144" s="46">
        <f>SUM(AS101:AS143)</f>
        <v>1.0026726766681633</v>
      </c>
      <c r="AT144" s="45">
        <f>SUM(AT101:AT143)</f>
        <v>374323.32167387474</v>
      </c>
      <c r="AU144" s="47"/>
      <c r="AV144" s="45"/>
      <c r="AW144" s="214"/>
      <c r="AX144" s="43"/>
      <c r="AY144" s="44">
        <f>SUM(AY140,AY135,AY132,AY131,AY121,AY116,AY110,AY106)</f>
        <v>97615.241009078847</v>
      </c>
      <c r="AZ144" s="45">
        <f>SUM(AZ140,AZ135,AZ132,AZ131,AZ121,AZ116,AZ110,AZ106)</f>
        <v>99856.129751686705</v>
      </c>
      <c r="BA144" s="45">
        <f>SUM(BA140,BA135,BA132,BA131,BA121,BA116,BA110,BA106)</f>
        <v>10340.997886136814</v>
      </c>
      <c r="BB144" s="354">
        <f>SUM(BB140,BB135,BB132,BB131,BB121,BB116,BB110,BB106,BB143)</f>
        <v>207812.36864690238</v>
      </c>
      <c r="BC144" s="27">
        <f>SUM(BC140,BC135,BC132,BC131,BC121,BC116,BC110,BC106,BC143)</f>
        <v>93.446349012313277</v>
      </c>
    </row>
    <row r="145" spans="1:80" ht="13.5" thickBot="1">
      <c r="C145" s="136" t="s">
        <v>65</v>
      </c>
      <c r="Q145" s="49">
        <f>Q144+Q141</f>
        <v>4196030.5323620643</v>
      </c>
      <c r="R145" s="216">
        <f>R144+R141</f>
        <v>1886.8161512544925</v>
      </c>
      <c r="AJ145" s="353">
        <f>AJ144+AJ141</f>
        <v>1824694.5</v>
      </c>
      <c r="AK145" s="216">
        <f>AK144+AK141</f>
        <v>811.77313449211749</v>
      </c>
      <c r="BB145" s="353">
        <f>BB144+BB141</f>
        <v>207812.36864690238</v>
      </c>
      <c r="BC145" s="216">
        <f>BC144+BC141</f>
        <v>93.446349012313277</v>
      </c>
    </row>
    <row r="147" spans="1:80" ht="13.5" thickBot="1">
      <c r="C147" s="89"/>
      <c r="W147" s="215"/>
      <c r="AT147" s="215"/>
      <c r="AU147" s="215"/>
      <c r="AV147" s="215"/>
      <c r="AW147" s="215"/>
    </row>
    <row r="148" spans="1:80">
      <c r="A148" s="699" t="s">
        <v>83</v>
      </c>
      <c r="B148" s="16" t="s">
        <v>3</v>
      </c>
      <c r="C148" s="148" t="s">
        <v>16</v>
      </c>
      <c r="D148" s="55"/>
      <c r="E148" s="56"/>
      <c r="F148" s="56"/>
      <c r="G148" s="149"/>
      <c r="H148" s="150"/>
      <c r="I148" s="151"/>
      <c r="J148" s="26"/>
      <c r="K148" s="26"/>
      <c r="L148" s="133"/>
      <c r="M148" s="56"/>
      <c r="N148" s="16"/>
      <c r="O148" s="18"/>
      <c r="P148" s="18"/>
      <c r="Q148" s="18"/>
      <c r="R148" s="28"/>
      <c r="S148" s="152"/>
      <c r="T148" s="55"/>
      <c r="U148" s="56"/>
      <c r="V148" s="56"/>
      <c r="W148" s="199">
        <f>[2]WA!T62</f>
        <v>11368.970620414324</v>
      </c>
      <c r="X148" s="197"/>
      <c r="Y148" s="197"/>
      <c r="Z148" s="197"/>
      <c r="AA148" s="290"/>
      <c r="AB148" s="26"/>
      <c r="AC148" s="26"/>
      <c r="AD148" s="26"/>
      <c r="AE148" s="26"/>
      <c r="AF148" s="84"/>
      <c r="AG148" s="151"/>
      <c r="AH148" s="26"/>
      <c r="AI148" s="26"/>
      <c r="AJ148" s="133">
        <f>W148</f>
        <v>11368.970620414324</v>
      </c>
      <c r="AK148" s="27">
        <f>AJ148/[2]Popn!$I$40*1000</f>
        <v>5.4310955124146396</v>
      </c>
      <c r="AL148" s="18"/>
      <c r="AM148" s="55"/>
      <c r="AN148" s="56"/>
      <c r="AO148" s="56"/>
      <c r="AP148" s="149"/>
      <c r="AQ148" s="153"/>
      <c r="AR148" s="26"/>
      <c r="AS148" s="26"/>
      <c r="AT148" s="21"/>
      <c r="AU148" s="25"/>
      <c r="AV148" s="21"/>
      <c r="AW148" s="22"/>
      <c r="AX148" s="56"/>
      <c r="AY148" s="16"/>
      <c r="AZ148" s="18"/>
      <c r="BA148" s="18"/>
      <c r="BB148" s="244"/>
      <c r="BC148" s="28"/>
      <c r="BD148" s="8"/>
      <c r="BH148" s="700" t="s">
        <v>86</v>
      </c>
      <c r="BI148" s="701"/>
      <c r="BJ148" s="701"/>
      <c r="BK148" s="701"/>
      <c r="BL148" s="702"/>
      <c r="BM148" s="700" t="s">
        <v>87</v>
      </c>
      <c r="BN148" s="702"/>
      <c r="BP148" s="8"/>
      <c r="BQ148" s="8"/>
      <c r="BR148" s="8"/>
      <c r="BS148" s="8"/>
      <c r="BT148" s="8"/>
    </row>
    <row r="149" spans="1:80">
      <c r="A149" s="699"/>
      <c r="B149" s="23"/>
      <c r="C149" s="17" t="s">
        <v>17</v>
      </c>
      <c r="D149" s="57"/>
      <c r="E149" s="2"/>
      <c r="F149" s="2"/>
      <c r="G149" s="63"/>
      <c r="H149" s="5"/>
      <c r="I149" s="20"/>
      <c r="J149" s="21"/>
      <c r="K149" s="21"/>
      <c r="L149" s="22"/>
      <c r="M149" s="2"/>
      <c r="N149" s="23"/>
      <c r="O149" s="19"/>
      <c r="P149" s="19"/>
      <c r="Q149" s="19"/>
      <c r="R149" s="24"/>
      <c r="T149" s="57"/>
      <c r="U149" s="2"/>
      <c r="V149" s="2"/>
      <c r="W149" s="199">
        <f>[2]WA!T63</f>
        <v>76890</v>
      </c>
      <c r="X149" s="198"/>
      <c r="Y149" s="198"/>
      <c r="Z149" s="198"/>
      <c r="AA149" s="272"/>
      <c r="AB149" s="21"/>
      <c r="AC149" s="21"/>
      <c r="AD149" s="21"/>
      <c r="AE149" s="21"/>
      <c r="AF149" s="70"/>
      <c r="AG149" s="20"/>
      <c r="AH149" s="21"/>
      <c r="AI149" s="21"/>
      <c r="AJ149" s="22">
        <f>W149</f>
        <v>76890</v>
      </c>
      <c r="AK149" s="29">
        <f>AJ149/[2]Popn!$I$40*1000</f>
        <v>36.731287984834552</v>
      </c>
      <c r="AL149" s="19"/>
      <c r="AM149" s="57"/>
      <c r="AN149" s="2"/>
      <c r="AO149" s="2"/>
      <c r="AP149" s="63"/>
      <c r="AQ149" s="67"/>
      <c r="AR149" s="21"/>
      <c r="AS149" s="21"/>
      <c r="AT149" s="21"/>
      <c r="AU149" s="25"/>
      <c r="AV149" s="21"/>
      <c r="AW149" s="22"/>
      <c r="AX149" s="2"/>
      <c r="AY149" s="23"/>
      <c r="AZ149" s="19"/>
      <c r="BA149" s="19"/>
      <c r="BB149" s="19"/>
      <c r="BC149" s="24"/>
      <c r="BD149" s="8"/>
      <c r="BH149" s="703" t="s">
        <v>79</v>
      </c>
      <c r="BI149" s="704"/>
      <c r="BJ149" s="704"/>
      <c r="BK149" s="705"/>
      <c r="BL149" s="75" t="s">
        <v>74</v>
      </c>
      <c r="BM149" s="72" t="s">
        <v>79</v>
      </c>
      <c r="BN149" s="73" t="s">
        <v>74</v>
      </c>
      <c r="BP149" s="7"/>
      <c r="BQ149" s="7"/>
      <c r="BR149" s="7"/>
      <c r="BS149" s="7"/>
      <c r="BT149" s="7"/>
      <c r="BU149" s="8"/>
    </row>
    <row r="150" spans="1:80">
      <c r="A150" s="699"/>
      <c r="B150" s="23"/>
      <c r="C150" s="17" t="s">
        <v>18</v>
      </c>
      <c r="D150" s="57"/>
      <c r="E150" s="2"/>
      <c r="F150" s="2"/>
      <c r="G150" s="63"/>
      <c r="H150" s="5"/>
      <c r="I150" s="20"/>
      <c r="J150" s="21"/>
      <c r="K150" s="21"/>
      <c r="L150" s="22"/>
      <c r="M150" s="2"/>
      <c r="N150" s="23"/>
      <c r="O150" s="19"/>
      <c r="P150" s="19"/>
      <c r="Q150" s="19"/>
      <c r="R150" s="24"/>
      <c r="T150" s="57"/>
      <c r="U150" s="2"/>
      <c r="V150" s="2"/>
      <c r="W150" s="199">
        <f>[2]WA!T64</f>
        <v>90891.029379585671</v>
      </c>
      <c r="X150" s="198"/>
      <c r="Y150" s="198"/>
      <c r="Z150" s="198"/>
      <c r="AA150" s="272"/>
      <c r="AB150" s="21"/>
      <c r="AC150" s="21"/>
      <c r="AD150" s="21"/>
      <c r="AE150" s="21"/>
      <c r="AF150" s="70"/>
      <c r="AG150" s="20"/>
      <c r="AH150" s="21"/>
      <c r="AI150" s="21"/>
      <c r="AJ150" s="22">
        <f>W150</f>
        <v>90891.029379585671</v>
      </c>
      <c r="AK150" s="29">
        <f>AJ150/[2]Popn!$I$40*1000</f>
        <v>43.41974997242319</v>
      </c>
      <c r="AL150" s="19"/>
      <c r="AM150" s="57"/>
      <c r="AN150" s="2"/>
      <c r="AO150" s="2"/>
      <c r="AP150" s="63"/>
      <c r="AQ150" s="67"/>
      <c r="AR150" s="21"/>
      <c r="AS150" s="21"/>
      <c r="AT150" s="21"/>
      <c r="AU150" s="25"/>
      <c r="AV150" s="21"/>
      <c r="AW150" s="22"/>
      <c r="AX150" s="2"/>
      <c r="AY150" s="23"/>
      <c r="AZ150" s="19"/>
      <c r="BA150" s="19"/>
      <c r="BB150" s="19"/>
      <c r="BC150" s="24"/>
      <c r="BD150" s="30"/>
      <c r="BG150" s="141"/>
      <c r="BH150" s="78" t="s">
        <v>44</v>
      </c>
      <c r="BI150" s="79" t="s">
        <v>45</v>
      </c>
      <c r="BJ150" s="79" t="s">
        <v>46</v>
      </c>
      <c r="BK150" s="80" t="s">
        <v>80</v>
      </c>
      <c r="BL150" s="80" t="s">
        <v>80</v>
      </c>
      <c r="BM150" s="78" t="s">
        <v>80</v>
      </c>
      <c r="BN150" s="80" t="s">
        <v>80</v>
      </c>
      <c r="BP150" s="30"/>
      <c r="BQ150" s="30"/>
      <c r="BR150" s="30"/>
      <c r="BS150" s="31"/>
      <c r="BT150" s="31"/>
      <c r="BU150" s="7"/>
    </row>
    <row r="151" spans="1:80">
      <c r="A151" s="699"/>
      <c r="B151" s="23"/>
      <c r="C151" s="17" t="s">
        <v>182</v>
      </c>
      <c r="D151" s="57"/>
      <c r="E151" s="2"/>
      <c r="F151" s="2"/>
      <c r="G151" s="63"/>
      <c r="H151" s="2"/>
      <c r="I151" s="20"/>
      <c r="J151" s="21"/>
      <c r="K151" s="21"/>
      <c r="L151" s="22"/>
      <c r="M151" s="2"/>
      <c r="N151" s="23"/>
      <c r="O151" s="19"/>
      <c r="P151" s="19"/>
      <c r="Q151" s="19"/>
      <c r="R151" s="24"/>
      <c r="T151" s="57"/>
      <c r="U151" s="2"/>
      <c r="V151" s="2"/>
      <c r="W151" s="199">
        <f>[2]WA!T65</f>
        <v>214720</v>
      </c>
      <c r="X151" s="198"/>
      <c r="Y151" s="198"/>
      <c r="Z151" s="198"/>
      <c r="AA151" s="274"/>
      <c r="AB151" s="21"/>
      <c r="AC151" s="21"/>
      <c r="AD151" s="21"/>
      <c r="AE151" s="21"/>
      <c r="AF151" s="70"/>
      <c r="AG151" s="20"/>
      <c r="AH151" s="21"/>
      <c r="AI151" s="21"/>
      <c r="AJ151" s="22">
        <f>W151</f>
        <v>214720</v>
      </c>
      <c r="AK151" s="29">
        <f>AJ151/[2]Popn!$I$40*1000</f>
        <v>102.57435500199863</v>
      </c>
      <c r="AL151" s="19"/>
      <c r="AM151" s="57"/>
      <c r="AN151" s="2"/>
      <c r="AO151" s="2"/>
      <c r="AP151" s="63"/>
      <c r="AQ151" s="68"/>
      <c r="AR151" s="21"/>
      <c r="AS151" s="21"/>
      <c r="AT151" s="21"/>
      <c r="AU151" s="25"/>
      <c r="AV151" s="21"/>
      <c r="AW151" s="22"/>
      <c r="AX151" s="2"/>
      <c r="AY151" s="23"/>
      <c r="AZ151" s="19"/>
      <c r="BA151" s="19"/>
      <c r="BB151" s="19"/>
      <c r="BC151" s="24"/>
      <c r="BD151" s="30"/>
      <c r="BG151" s="145" t="s">
        <v>72</v>
      </c>
      <c r="BH151" s="52">
        <f>N191/1000</f>
        <v>971.20680552335455</v>
      </c>
      <c r="BI151" s="52">
        <f>O191/1000</f>
        <v>1018.7354751124758</v>
      </c>
      <c r="BJ151" s="52">
        <f>P191/1000</f>
        <v>1728.9003860902039</v>
      </c>
      <c r="BK151" s="53">
        <f>Q191/1000</f>
        <v>3718.8426667260342</v>
      </c>
      <c r="BL151" s="54">
        <f>R191/1000</f>
        <v>1.7765363631396029</v>
      </c>
      <c r="BM151" s="51">
        <f>Q192/1000</f>
        <v>4068.4893268667497</v>
      </c>
      <c r="BN151" s="54">
        <f>R192/1000</f>
        <v>1.9435668244032811</v>
      </c>
      <c r="BP151" s="30"/>
      <c r="BQ151" s="30"/>
      <c r="BR151" s="30"/>
      <c r="BS151" s="31"/>
      <c r="BT151" s="31"/>
      <c r="BU151" s="32"/>
    </row>
    <row r="152" spans="1:80">
      <c r="A152" s="699"/>
      <c r="B152" s="23"/>
      <c r="C152" s="17" t="s">
        <v>183</v>
      </c>
      <c r="D152" s="57"/>
      <c r="E152" s="2"/>
      <c r="F152" s="2"/>
      <c r="G152" s="63"/>
      <c r="H152" s="2"/>
      <c r="I152" s="20"/>
      <c r="J152" s="21"/>
      <c r="K152" s="21"/>
      <c r="L152" s="22"/>
      <c r="M152" s="2"/>
      <c r="N152" s="23"/>
      <c r="O152" s="19"/>
      <c r="P152" s="19"/>
      <c r="Q152" s="19"/>
      <c r="R152" s="33"/>
      <c r="T152" s="57"/>
      <c r="U152" s="2"/>
      <c r="V152" s="2"/>
      <c r="W152" s="199"/>
      <c r="X152" s="198"/>
      <c r="Y152" s="198"/>
      <c r="Z152" s="198"/>
      <c r="AA152" s="274"/>
      <c r="AB152" s="21"/>
      <c r="AC152" s="21"/>
      <c r="AD152" s="21"/>
      <c r="AE152" s="21"/>
      <c r="AF152" s="70"/>
      <c r="AG152" s="20"/>
      <c r="AH152" s="21"/>
      <c r="AI152" s="21"/>
      <c r="AJ152" s="22">
        <f>W152</f>
        <v>0</v>
      </c>
      <c r="AK152" s="29">
        <f>AJ152/[2]Popn!$I$40*1000</f>
        <v>0</v>
      </c>
      <c r="AL152" s="19"/>
      <c r="AM152" s="57"/>
      <c r="AN152" s="2"/>
      <c r="AO152" s="2"/>
      <c r="AP152" s="63"/>
      <c r="AQ152" s="68"/>
      <c r="AR152" s="21"/>
      <c r="AS152" s="21"/>
      <c r="AT152" s="21"/>
      <c r="AU152" s="25"/>
      <c r="AV152" s="21"/>
      <c r="AW152" s="22"/>
      <c r="AX152" s="2"/>
      <c r="AY152" s="23"/>
      <c r="AZ152" s="19"/>
      <c r="BA152" s="19"/>
      <c r="BB152" s="19"/>
      <c r="BC152" s="24"/>
      <c r="BD152" s="30"/>
      <c r="BG152" s="77" t="s">
        <v>68</v>
      </c>
      <c r="BH152" s="52">
        <f>AG191/1000</f>
        <v>358.19351999999998</v>
      </c>
      <c r="BI152" s="52">
        <f>AH191/1000</f>
        <v>776.08596000000011</v>
      </c>
      <c r="BJ152" s="52">
        <f>AI191/1000</f>
        <v>358.19351999999998</v>
      </c>
      <c r="BK152" s="53">
        <f>AJ191/1000</f>
        <v>1492.473</v>
      </c>
      <c r="BL152" s="54">
        <f>AK191/1000</f>
        <v>0.7129725006189358</v>
      </c>
      <c r="BM152" s="51">
        <f>AJ192/1000</f>
        <v>1703.7755980422148</v>
      </c>
      <c r="BN152" s="54">
        <f>AK192/1000</f>
        <v>0.81391432114998441</v>
      </c>
      <c r="BU152" s="32"/>
    </row>
    <row r="153" spans="1:80" s="106" customFormat="1">
      <c r="A153" s="699"/>
      <c r="B153" s="107" t="s">
        <v>67</v>
      </c>
      <c r="C153" s="108"/>
      <c r="D153" s="109"/>
      <c r="E153" s="110"/>
      <c r="F153" s="110"/>
      <c r="G153" s="111"/>
      <c r="H153" s="110"/>
      <c r="I153" s="112">
        <f>D191*[2]WA!$F$380</f>
        <v>74504.722727272732</v>
      </c>
      <c r="J153" s="113">
        <f>E191*[2]WA!J$347</f>
        <v>61823.73566167114</v>
      </c>
      <c r="K153" s="113">
        <f>F191*[2]WA!K$347</f>
        <v>1614377.452441561</v>
      </c>
      <c r="L153" s="114">
        <f>SUM(I153:K153)</f>
        <v>1750705.910830505</v>
      </c>
      <c r="M153" s="110"/>
      <c r="N153" s="112">
        <f>I153-AU153</f>
        <v>74504.722727272732</v>
      </c>
      <c r="O153" s="113">
        <f>J153-AV153</f>
        <v>61823.73566167114</v>
      </c>
      <c r="P153" s="113">
        <f>K153-AW153</f>
        <v>1614377.452441561</v>
      </c>
      <c r="Q153" s="114">
        <f>SUM(N153:P153)</f>
        <v>1750705.910830505</v>
      </c>
      <c r="R153" s="115">
        <f>Q153/[2]Popn!$I$40*1000</f>
        <v>836.33350224304013</v>
      </c>
      <c r="T153" s="109"/>
      <c r="U153" s="110"/>
      <c r="V153" s="110"/>
      <c r="W153" s="203"/>
      <c r="X153" s="130"/>
      <c r="Y153" s="130"/>
      <c r="Z153" s="130"/>
      <c r="AA153" s="276"/>
      <c r="AB153" s="113"/>
      <c r="AC153" s="113"/>
      <c r="AD153" s="113"/>
      <c r="AE153" s="113"/>
      <c r="AF153" s="117"/>
      <c r="AG153" s="112"/>
      <c r="AH153" s="113"/>
      <c r="AI153" s="113"/>
      <c r="AJ153" s="114">
        <f>SUM(AJ148:AJ152)</f>
        <v>393870</v>
      </c>
      <c r="AK153" s="118">
        <f>SUM(AK148:AK152)</f>
        <v>188.15648847167103</v>
      </c>
      <c r="AL153" s="119"/>
      <c r="AM153" s="109"/>
      <c r="AN153" s="110"/>
      <c r="AO153" s="110"/>
      <c r="AP153" s="111"/>
      <c r="AQ153" s="116"/>
      <c r="AR153" s="113"/>
      <c r="AS153" s="113"/>
      <c r="AT153" s="113"/>
      <c r="AU153" s="120"/>
      <c r="AV153" s="113"/>
      <c r="AW153" s="114"/>
      <c r="AX153" s="110"/>
      <c r="AY153" s="112"/>
      <c r="AZ153" s="113"/>
      <c r="BA153" s="113"/>
      <c r="BB153" s="113"/>
      <c r="BC153" s="121"/>
      <c r="BD153" s="122"/>
      <c r="BG153" s="77" t="s">
        <v>69</v>
      </c>
      <c r="BH153" s="52">
        <f>AY191/1000</f>
        <v>93.146376294827277</v>
      </c>
      <c r="BI153" s="52">
        <f>AZ191/1000</f>
        <v>95.328241510838239</v>
      </c>
      <c r="BJ153" s="52">
        <f>BA191/1000</f>
        <v>9.8687856650013099</v>
      </c>
      <c r="BK153" s="53">
        <f>BB191/1000</f>
        <v>198.34340347066686</v>
      </c>
      <c r="BL153" s="54">
        <f>BC191/1000</f>
        <v>9.4751055700003847E-2</v>
      </c>
      <c r="BM153" s="51">
        <f>BB192/1000</f>
        <v>198.34340347066686</v>
      </c>
      <c r="BN153" s="54">
        <f>BC192/1000</f>
        <v>9.4751055700003847E-2</v>
      </c>
      <c r="BO153" s="6"/>
      <c r="BU153" s="6"/>
      <c r="BV153" s="6"/>
      <c r="BW153" s="6"/>
      <c r="BX153" s="6"/>
      <c r="BY153" s="6"/>
      <c r="BZ153" s="6"/>
      <c r="CA153" s="6"/>
      <c r="CB153" s="6"/>
    </row>
    <row r="154" spans="1:80">
      <c r="A154" s="699"/>
      <c r="B154" s="23" t="s">
        <v>4</v>
      </c>
      <c r="C154" s="17" t="s">
        <v>19</v>
      </c>
      <c r="D154" s="57"/>
      <c r="E154" s="2"/>
      <c r="F154" s="2"/>
      <c r="G154" s="63"/>
      <c r="H154" s="2"/>
      <c r="I154" s="20"/>
      <c r="J154" s="21"/>
      <c r="K154" s="21"/>
      <c r="L154" s="22"/>
      <c r="M154" s="2"/>
      <c r="N154" s="23"/>
      <c r="O154" s="19"/>
      <c r="P154" s="19"/>
      <c r="Q154" s="19"/>
      <c r="R154" s="33"/>
      <c r="T154" s="57"/>
      <c r="U154" s="2"/>
      <c r="V154" s="2"/>
      <c r="W154" s="199">
        <f>[2]WA!T68</f>
        <v>458460</v>
      </c>
      <c r="X154" s="198"/>
      <c r="Y154" s="198"/>
      <c r="Z154" s="198"/>
      <c r="AA154" s="274"/>
      <c r="AB154" s="21"/>
      <c r="AC154" s="21"/>
      <c r="AD154" s="21"/>
      <c r="AE154" s="21"/>
      <c r="AF154" s="70"/>
      <c r="AG154" s="20"/>
      <c r="AH154" s="21"/>
      <c r="AI154" s="21"/>
      <c r="AJ154" s="22">
        <f>W154</f>
        <v>458460</v>
      </c>
      <c r="AK154" s="29">
        <f>AJ154/[2]Popn!$I$40*1000</f>
        <v>219.0119168881161</v>
      </c>
      <c r="AL154" s="19"/>
      <c r="AM154" s="57"/>
      <c r="AN154" s="2"/>
      <c r="AO154" s="2"/>
      <c r="AP154" s="63"/>
      <c r="AQ154" s="68"/>
      <c r="AR154" s="21"/>
      <c r="AS154" s="21"/>
      <c r="AT154" s="21"/>
      <c r="AU154" s="25"/>
      <c r="AV154" s="21"/>
      <c r="AW154" s="22"/>
      <c r="AX154" s="2"/>
      <c r="AY154" s="23"/>
      <c r="AZ154" s="19"/>
      <c r="BA154" s="19"/>
      <c r="BB154" s="19"/>
      <c r="BC154" s="24"/>
      <c r="BD154" s="30"/>
      <c r="BG154" s="145" t="s">
        <v>73</v>
      </c>
      <c r="BH154" s="86">
        <f t="shared" ref="BH154:BN154" si="25">SUM(BH152:BH153)/BH155</f>
        <v>0.31727597815801895</v>
      </c>
      <c r="BI154" s="86">
        <f t="shared" si="25"/>
        <v>0.46102920434723937</v>
      </c>
      <c r="BJ154" s="86">
        <f t="shared" si="25"/>
        <v>0.17552162807289856</v>
      </c>
      <c r="BK154" s="87">
        <f t="shared" si="25"/>
        <v>0.3125550763052406</v>
      </c>
      <c r="BL154" s="87">
        <f t="shared" si="25"/>
        <v>0.3125550763052406</v>
      </c>
      <c r="BM154" s="88">
        <f t="shared" si="25"/>
        <v>0.31858043550967602</v>
      </c>
      <c r="BN154" s="87">
        <f t="shared" si="25"/>
        <v>0.31858043550967596</v>
      </c>
      <c r="BU154" s="106"/>
      <c r="BV154" s="106"/>
      <c r="BW154" s="106"/>
      <c r="BX154" s="106"/>
      <c r="BY154" s="106"/>
      <c r="BZ154" s="106"/>
      <c r="CA154" s="106"/>
      <c r="CB154" s="106"/>
    </row>
    <row r="155" spans="1:80">
      <c r="A155" s="699"/>
      <c r="B155" s="23"/>
      <c r="C155" s="17" t="s">
        <v>20</v>
      </c>
      <c r="D155" s="57"/>
      <c r="E155" s="2"/>
      <c r="F155" s="2"/>
      <c r="G155" s="63"/>
      <c r="H155" s="2"/>
      <c r="I155" s="20"/>
      <c r="J155" s="21"/>
      <c r="K155" s="21"/>
      <c r="L155" s="22"/>
      <c r="M155" s="2"/>
      <c r="N155" s="23"/>
      <c r="O155" s="19"/>
      <c r="P155" s="19"/>
      <c r="Q155" s="19"/>
      <c r="R155" s="33"/>
      <c r="T155" s="57"/>
      <c r="U155" s="2"/>
      <c r="V155" s="2"/>
      <c r="W155" s="199">
        <f>[2]WA!T69</f>
        <v>15610</v>
      </c>
      <c r="X155" s="198"/>
      <c r="Y155" s="198"/>
      <c r="Z155" s="198"/>
      <c r="AA155" s="274"/>
      <c r="AB155" s="21"/>
      <c r="AC155" s="21"/>
      <c r="AD155" s="21"/>
      <c r="AE155" s="21"/>
      <c r="AF155" s="70"/>
      <c r="AG155" s="20"/>
      <c r="AH155" s="21"/>
      <c r="AI155" s="21"/>
      <c r="AJ155" s="22">
        <f>W155</f>
        <v>15610</v>
      </c>
      <c r="AK155" s="29">
        <f>AJ155/[2]Popn!$I$40*1000</f>
        <v>7.4570868180942558</v>
      </c>
      <c r="AL155" s="19"/>
      <c r="AM155" s="57"/>
      <c r="AN155" s="2"/>
      <c r="AO155" s="2"/>
      <c r="AP155" s="63"/>
      <c r="AQ155" s="68"/>
      <c r="AR155" s="21"/>
      <c r="AS155" s="21"/>
      <c r="AT155" s="21"/>
      <c r="AU155" s="225"/>
      <c r="AV155" s="21"/>
      <c r="AW155" s="22"/>
      <c r="AX155" s="2"/>
      <c r="AY155" s="23"/>
      <c r="AZ155" s="19"/>
      <c r="BA155" s="19"/>
      <c r="BB155" s="19"/>
      <c r="BC155" s="24"/>
      <c r="BD155" s="30"/>
      <c r="BG155" s="77" t="s">
        <v>78</v>
      </c>
      <c r="BH155" s="52">
        <f t="shared" ref="BH155:BN155" si="26">SUM(BH151:BH153)</f>
        <v>1422.5467018181816</v>
      </c>
      <c r="BI155" s="52">
        <f t="shared" si="26"/>
        <v>1890.1496766233142</v>
      </c>
      <c r="BJ155" s="52">
        <f t="shared" si="26"/>
        <v>2096.962691755205</v>
      </c>
      <c r="BK155" s="74">
        <f t="shared" si="26"/>
        <v>5409.6590701967007</v>
      </c>
      <c r="BL155" s="76">
        <f t="shared" si="26"/>
        <v>2.5842599194585425</v>
      </c>
      <c r="BM155" s="81">
        <f t="shared" si="26"/>
        <v>5970.6083283796315</v>
      </c>
      <c r="BN155" s="76">
        <f t="shared" si="26"/>
        <v>2.8522322012532695</v>
      </c>
    </row>
    <row r="156" spans="1:80">
      <c r="A156" s="699"/>
      <c r="B156" s="23"/>
      <c r="C156" s="17" t="s">
        <v>21</v>
      </c>
      <c r="D156" s="57"/>
      <c r="E156" s="2"/>
      <c r="F156" s="2"/>
      <c r="G156" s="63"/>
      <c r="H156" s="2"/>
      <c r="I156" s="20"/>
      <c r="J156" s="21"/>
      <c r="K156" s="21"/>
      <c r="L156" s="22"/>
      <c r="M156" s="2"/>
      <c r="N156" s="23"/>
      <c r="O156" s="19"/>
      <c r="P156" s="19"/>
      <c r="Q156" s="19"/>
      <c r="R156" s="33"/>
      <c r="T156" s="57"/>
      <c r="U156" s="2"/>
      <c r="V156" s="2"/>
      <c r="W156" s="199">
        <f>[2]WA!T70</f>
        <v>27230</v>
      </c>
      <c r="X156" s="198"/>
      <c r="Y156" s="198"/>
      <c r="Z156" s="198"/>
      <c r="AA156" s="274"/>
      <c r="AB156" s="21"/>
      <c r="AC156" s="21"/>
      <c r="AD156" s="21"/>
      <c r="AE156" s="21"/>
      <c r="AF156" s="70"/>
      <c r="AG156" s="20"/>
      <c r="AH156" s="21"/>
      <c r="AI156" s="21"/>
      <c r="AJ156" s="22">
        <f>W156</f>
        <v>27230</v>
      </c>
      <c r="AK156" s="29">
        <f>AJ156/[2]Popn!$I$40*1000</f>
        <v>13.008102117662178</v>
      </c>
      <c r="AL156" s="19"/>
      <c r="AM156" s="57"/>
      <c r="AN156" s="2"/>
      <c r="AO156" s="2"/>
      <c r="AP156" s="63"/>
      <c r="AQ156" s="68"/>
      <c r="AR156" s="21"/>
      <c r="AS156" s="21"/>
      <c r="AT156" s="21"/>
      <c r="AU156" s="25"/>
      <c r="AV156" s="21"/>
      <c r="AW156" s="22"/>
      <c r="AX156" s="2"/>
      <c r="AY156" s="23"/>
      <c r="AZ156" s="19"/>
      <c r="BA156" s="19"/>
      <c r="BB156" s="19"/>
      <c r="BC156" s="24"/>
      <c r="BD156" s="30"/>
    </row>
    <row r="157" spans="1:80" s="106" customFormat="1">
      <c r="A157" s="699"/>
      <c r="B157" s="107" t="s">
        <v>67</v>
      </c>
      <c r="C157" s="108"/>
      <c r="D157" s="109"/>
      <c r="E157" s="110"/>
      <c r="F157" s="110"/>
      <c r="G157" s="111"/>
      <c r="H157" s="110"/>
      <c r="I157" s="112">
        <f>D191*[2]WA!$F$381</f>
        <v>21287.063636363637</v>
      </c>
      <c r="J157" s="113">
        <f>E191*[2]WA!J$348</f>
        <v>51931.937955803762</v>
      </c>
      <c r="K157" s="113">
        <f>F191*[2]WA!K$348</f>
        <v>25668.132556783727</v>
      </c>
      <c r="L157" s="114">
        <f>SUM(I157:K157)</f>
        <v>98887.134148951125</v>
      </c>
      <c r="M157" s="110"/>
      <c r="N157" s="112">
        <f>I157-AU157</f>
        <v>21287.063636363637</v>
      </c>
      <c r="O157" s="113">
        <f>J157-AV157</f>
        <v>51931.937955803762</v>
      </c>
      <c r="P157" s="113">
        <f>K157-AW157</f>
        <v>25668.132556783727</v>
      </c>
      <c r="Q157" s="114">
        <f>SUM(N157:P157)</f>
        <v>98887.134148951125</v>
      </c>
      <c r="R157" s="115">
        <f>Q157/[2]Popn!$I$40*1000</f>
        <v>47.23958645363625</v>
      </c>
      <c r="T157" s="109"/>
      <c r="U157" s="110"/>
      <c r="V157" s="110"/>
      <c r="W157" s="203"/>
      <c r="X157" s="130"/>
      <c r="Y157" s="130"/>
      <c r="Z157" s="130"/>
      <c r="AA157" s="276"/>
      <c r="AB157" s="113"/>
      <c r="AC157" s="113"/>
      <c r="AD157" s="113"/>
      <c r="AE157" s="113"/>
      <c r="AF157" s="117"/>
      <c r="AG157" s="112"/>
      <c r="AH157" s="113"/>
      <c r="AI157" s="113"/>
      <c r="AJ157" s="114">
        <f>SUM(AJ154:AJ156)</f>
        <v>501300</v>
      </c>
      <c r="AK157" s="118">
        <f>SUM(AK154:AK156)</f>
        <v>239.47710582387256</v>
      </c>
      <c r="AL157" s="119"/>
      <c r="AM157" s="109"/>
      <c r="AN157" s="110"/>
      <c r="AO157" s="110"/>
      <c r="AP157" s="111"/>
      <c r="AQ157" s="116"/>
      <c r="AR157" s="113"/>
      <c r="AS157" s="113"/>
      <c r="AT157" s="113"/>
      <c r="AU157" s="120"/>
      <c r="AV157" s="113"/>
      <c r="AW157" s="114"/>
      <c r="AX157" s="110"/>
      <c r="AY157" s="112"/>
      <c r="AZ157" s="113"/>
      <c r="BA157" s="113"/>
      <c r="BB157" s="113"/>
      <c r="BC157" s="121"/>
      <c r="BD157" s="122"/>
      <c r="BG157" s="140"/>
      <c r="BH157" s="6"/>
      <c r="BI157" s="6"/>
      <c r="BJ157" s="6"/>
      <c r="BK157" s="6"/>
      <c r="BL157" s="6"/>
      <c r="BM157" s="6"/>
      <c r="BN157" s="6"/>
      <c r="BO157" s="6"/>
      <c r="BU157" s="6"/>
      <c r="BV157" s="6"/>
      <c r="BW157" s="6"/>
      <c r="BX157" s="6"/>
      <c r="BY157" s="6"/>
      <c r="BZ157" s="6"/>
      <c r="CA157" s="6"/>
      <c r="CB157" s="6"/>
    </row>
    <row r="158" spans="1:80">
      <c r="A158" s="699"/>
      <c r="B158" s="23" t="s">
        <v>2</v>
      </c>
      <c r="C158" s="17" t="s">
        <v>22</v>
      </c>
      <c r="D158" s="57"/>
      <c r="E158" s="2"/>
      <c r="F158" s="2"/>
      <c r="G158" s="63"/>
      <c r="H158" s="2"/>
      <c r="I158" s="20"/>
      <c r="J158" s="21"/>
      <c r="K158" s="21"/>
      <c r="L158" s="22"/>
      <c r="M158" s="2"/>
      <c r="N158" s="20"/>
      <c r="O158" s="21"/>
      <c r="P158" s="21"/>
      <c r="Q158" s="21"/>
      <c r="R158" s="34"/>
      <c r="T158" s="57"/>
      <c r="U158" s="2"/>
      <c r="V158" s="2"/>
      <c r="W158" s="730">
        <f>[2]WA!T72</f>
        <v>320560</v>
      </c>
      <c r="X158" s="198"/>
      <c r="Y158" s="198"/>
      <c r="Z158" s="198"/>
      <c r="AA158" s="274"/>
      <c r="AB158" s="21"/>
      <c r="AC158" s="21"/>
      <c r="AD158" s="21"/>
      <c r="AE158" s="21"/>
      <c r="AF158" s="70"/>
      <c r="AG158" s="20"/>
      <c r="AH158" s="21"/>
      <c r="AI158" s="21"/>
      <c r="AJ158" s="731">
        <f>W158</f>
        <v>320560</v>
      </c>
      <c r="AK158" s="732">
        <f>AJ158/[2]Popn!$I$40*1000</f>
        <v>153.1354100197498</v>
      </c>
      <c r="AL158" s="19"/>
      <c r="AM158" s="57"/>
      <c r="AN158" s="2"/>
      <c r="AO158" s="2"/>
      <c r="AP158" s="63"/>
      <c r="AQ158" s="70"/>
      <c r="AR158" s="21">
        <f>L163*'[2]Lfill en &amp; composn'!$I$82/SUM('[2]Lfill en &amp; composn'!$I$82,'[2]Lfill en &amp; composn'!$I$84:$I$85,'[2]Lfill en &amp; composn'!$I$87:$I$88)*'[2]Lfill en &amp; composn'!$D$16</f>
        <v>82276.895244056213</v>
      </c>
      <c r="AS158" s="35">
        <f>AR158/SUM($AR$148:$AR$190)</f>
        <v>0.36299945989286048</v>
      </c>
      <c r="AT158" s="21">
        <f>AS158*'[2]Lfill en &amp; composn'!$I$60/'[2]Lfill en &amp; composn'!$B$16</f>
        <v>109325.18431245469</v>
      </c>
      <c r="AU158" s="25"/>
      <c r="AV158" s="21"/>
      <c r="AW158" s="22"/>
      <c r="AX158" s="82"/>
      <c r="AY158" s="20"/>
      <c r="AZ158" s="21"/>
      <c r="BA158" s="21"/>
      <c r="BB158" s="21"/>
      <c r="BC158" s="29"/>
      <c r="BD158" s="30"/>
      <c r="BU158" s="106"/>
      <c r="BV158" s="106"/>
      <c r="BW158" s="106"/>
      <c r="BX158" s="106"/>
      <c r="BY158" s="106"/>
      <c r="BZ158" s="106"/>
      <c r="CA158" s="106"/>
      <c r="CB158" s="106"/>
    </row>
    <row r="159" spans="1:80">
      <c r="A159" s="699"/>
      <c r="B159" s="23"/>
      <c r="C159" s="17" t="s">
        <v>23</v>
      </c>
      <c r="D159" s="57"/>
      <c r="E159" s="2"/>
      <c r="F159" s="2"/>
      <c r="G159" s="63"/>
      <c r="H159" s="2"/>
      <c r="I159" s="20"/>
      <c r="J159" s="21"/>
      <c r="K159" s="21"/>
      <c r="L159" s="22"/>
      <c r="M159" s="2"/>
      <c r="N159" s="20"/>
      <c r="O159" s="21"/>
      <c r="P159" s="21"/>
      <c r="Q159" s="21"/>
      <c r="R159" s="34"/>
      <c r="T159" s="57"/>
      <c r="U159" s="2"/>
      <c r="V159" s="2"/>
      <c r="W159" s="730"/>
      <c r="X159" s="198"/>
      <c r="Y159" s="198"/>
      <c r="Z159" s="198"/>
      <c r="AA159" s="274"/>
      <c r="AB159" s="21"/>
      <c r="AC159" s="21"/>
      <c r="AD159" s="21"/>
      <c r="AE159" s="21"/>
      <c r="AF159" s="70"/>
      <c r="AG159" s="20"/>
      <c r="AH159" s="21"/>
      <c r="AI159" s="21"/>
      <c r="AJ159" s="731"/>
      <c r="AK159" s="732"/>
      <c r="AL159" s="19"/>
      <c r="AM159" s="57"/>
      <c r="AN159" s="2"/>
      <c r="AO159" s="2"/>
      <c r="AP159" s="63"/>
      <c r="AQ159" s="68"/>
      <c r="AR159" s="21">
        <f>L163*'[2]Lfill en &amp; composn'!$I$84/SUM('[2]Lfill en &amp; composn'!$I$82,'[2]Lfill en &amp; composn'!$I$84:$I$85,'[2]Lfill en &amp; composn'!$I$87:$I$88)*'[2]Lfill en &amp; composn'!$D$18</f>
        <v>29403.291590892615</v>
      </c>
      <c r="AS159" s="35">
        <f>AR159/SUM($AR$148:$AR$190)</f>
        <v>0.12972510611765414</v>
      </c>
      <c r="AT159" s="21">
        <f>AS159*'[2]Lfill en &amp; composn'!$I$60/'[2]Lfill en &amp; composn'!$B$18</f>
        <v>29302.153384300844</v>
      </c>
      <c r="AU159" s="25"/>
      <c r="AV159" s="21"/>
      <c r="AW159" s="22"/>
      <c r="AX159" s="2"/>
      <c r="AY159" s="20"/>
      <c r="AZ159" s="21"/>
      <c r="BA159" s="21"/>
      <c r="BB159" s="21"/>
      <c r="BC159" s="29"/>
      <c r="BD159" s="36"/>
    </row>
    <row r="160" spans="1:80">
      <c r="A160" s="699"/>
      <c r="B160" s="23"/>
      <c r="C160" s="17" t="s">
        <v>24</v>
      </c>
      <c r="D160" s="57"/>
      <c r="E160" s="2"/>
      <c r="F160" s="2"/>
      <c r="G160" s="63"/>
      <c r="H160" s="2"/>
      <c r="I160" s="20"/>
      <c r="J160" s="21"/>
      <c r="K160" s="21"/>
      <c r="L160" s="22"/>
      <c r="M160" s="2"/>
      <c r="N160" s="20"/>
      <c r="O160" s="21"/>
      <c r="P160" s="21"/>
      <c r="Q160" s="21"/>
      <c r="R160" s="34"/>
      <c r="T160" s="57"/>
      <c r="U160" s="2"/>
      <c r="V160" s="2"/>
      <c r="W160" s="730"/>
      <c r="X160" s="198"/>
      <c r="Y160" s="198"/>
      <c r="Z160" s="198"/>
      <c r="AA160" s="274"/>
      <c r="AB160" s="21"/>
      <c r="AC160" s="21"/>
      <c r="AD160" s="21"/>
      <c r="AE160" s="21"/>
      <c r="AF160" s="70"/>
      <c r="AG160" s="20"/>
      <c r="AH160" s="21"/>
      <c r="AI160" s="21"/>
      <c r="AJ160" s="731"/>
      <c r="AK160" s="732"/>
      <c r="AL160" s="19"/>
      <c r="AM160" s="57"/>
      <c r="AN160" s="2"/>
      <c r="AO160" s="2"/>
      <c r="AP160" s="63"/>
      <c r="AQ160" s="70"/>
      <c r="AR160" s="21">
        <f>L163*'[2]Lfill en &amp; composn'!$I$85/SUM('[2]Lfill en &amp; composn'!$I$82,'[2]Lfill en &amp; composn'!$I$84:$I$85,'[2]Lfill en &amp; composn'!$I$87:$I$88)*'[2]Lfill en &amp; composn'!$D$19</f>
        <v>29391.747135946513</v>
      </c>
      <c r="AS160" s="35">
        <f>AR160/SUM($AR$148:$AR$190)</f>
        <v>0.12967417285263774</v>
      </c>
      <c r="AT160" s="21">
        <f>AS160*'[2]Lfill en &amp; composn'!$I$60/'[2]Lfill en &amp; composn'!$B$19</f>
        <v>13623.557506372281</v>
      </c>
      <c r="AU160" s="25"/>
      <c r="AV160" s="21"/>
      <c r="AW160" s="22"/>
      <c r="AX160" s="2"/>
      <c r="AY160" s="20"/>
      <c r="AZ160" s="21"/>
      <c r="BA160" s="21"/>
      <c r="BB160" s="21"/>
      <c r="BC160" s="29"/>
    </row>
    <row r="161" spans="1:80">
      <c r="A161" s="699"/>
      <c r="B161" s="23"/>
      <c r="C161" s="17" t="s">
        <v>25</v>
      </c>
      <c r="D161" s="57"/>
      <c r="E161" s="2"/>
      <c r="F161" s="2"/>
      <c r="G161" s="63"/>
      <c r="H161" s="2"/>
      <c r="I161" s="20"/>
      <c r="J161" s="21"/>
      <c r="K161" s="21"/>
      <c r="L161" s="22"/>
      <c r="M161" s="2"/>
      <c r="N161" s="20"/>
      <c r="O161" s="21"/>
      <c r="P161" s="21"/>
      <c r="Q161" s="21"/>
      <c r="R161" s="34"/>
      <c r="T161" s="57"/>
      <c r="U161" s="2"/>
      <c r="V161" s="2"/>
      <c r="W161" s="730"/>
      <c r="X161" s="198"/>
      <c r="Y161" s="198"/>
      <c r="Z161" s="198"/>
      <c r="AA161" s="274"/>
      <c r="AB161" s="21"/>
      <c r="AC161" s="21"/>
      <c r="AD161" s="21"/>
      <c r="AE161" s="21"/>
      <c r="AF161" s="70"/>
      <c r="AG161" s="20"/>
      <c r="AH161" s="21"/>
      <c r="AI161" s="21"/>
      <c r="AJ161" s="731"/>
      <c r="AK161" s="732"/>
      <c r="AL161" s="19"/>
      <c r="AM161" s="57"/>
      <c r="AN161" s="2"/>
      <c r="AO161" s="2"/>
      <c r="AP161" s="63"/>
      <c r="AQ161" s="68"/>
      <c r="AR161" s="21">
        <f>L163*'[2]Lfill en &amp; composn'!$I$93/SUM('[2]Lfill en &amp; composn'!$I$82,'[2]Lfill en &amp; composn'!$I$84:$I$85,'[2]Lfill en &amp; composn'!$I$87:$I$88)*'[2]Lfill en &amp; composn'!$D$24</f>
        <v>6389.1262850287267</v>
      </c>
      <c r="AS161" s="35">
        <f>AR161/SUM($AR$148:$AR$190)</f>
        <v>2.8188343565628788E-2</v>
      </c>
      <c r="AT161" s="21">
        <f>AS161*'[2]Lfill en &amp; composn'!$I$60/'[2]Lfill en &amp; composn'!$B$24</f>
        <v>5305.9580596289452</v>
      </c>
      <c r="AU161" s="25"/>
      <c r="AV161" s="21"/>
      <c r="AW161" s="22"/>
      <c r="AX161" s="83"/>
      <c r="AY161" s="20"/>
      <c r="AZ161" s="21"/>
      <c r="BA161" s="21"/>
      <c r="BB161" s="21"/>
      <c r="BC161" s="29"/>
    </row>
    <row r="162" spans="1:80">
      <c r="A162" s="699"/>
      <c r="B162" s="23"/>
      <c r="C162" s="17" t="s">
        <v>0</v>
      </c>
      <c r="D162" s="57"/>
      <c r="E162" s="2"/>
      <c r="F162" s="2"/>
      <c r="G162" s="63"/>
      <c r="H162" s="198">
        <f>[2]Biosolids!$I$201</f>
        <v>2776.8615496002612</v>
      </c>
      <c r="I162" s="112"/>
      <c r="J162" s="21"/>
      <c r="K162" s="21"/>
      <c r="L162" s="22"/>
      <c r="M162" s="68" t="s">
        <v>193</v>
      </c>
      <c r="N162" s="23"/>
      <c r="O162" s="19"/>
      <c r="P162" s="19"/>
      <c r="Q162" s="19"/>
      <c r="R162" s="34"/>
      <c r="T162" s="57"/>
      <c r="U162" s="2"/>
      <c r="V162" s="2"/>
      <c r="W162" s="199"/>
      <c r="X162" s="198"/>
      <c r="Y162" s="198"/>
      <c r="Z162" s="198"/>
      <c r="AA162" s="278">
        <f>[2]Biosolids!$I$200</f>
        <v>23083</v>
      </c>
      <c r="AB162" s="21"/>
      <c r="AC162" s="21"/>
      <c r="AD162" s="21"/>
      <c r="AE162" s="21"/>
      <c r="AF162" s="355" t="s">
        <v>196</v>
      </c>
      <c r="AG162" s="20"/>
      <c r="AH162" s="21"/>
      <c r="AI162" s="21"/>
      <c r="AJ162" s="22">
        <f>AA162</f>
        <v>23083</v>
      </c>
      <c r="AK162" s="29">
        <f>AJ162/[2]Popn!$I$40*1000</f>
        <v>11.027029790010872</v>
      </c>
      <c r="AL162" s="19"/>
      <c r="AM162" s="57"/>
      <c r="AN162" s="2"/>
      <c r="AO162" s="2"/>
      <c r="AP162" s="63"/>
      <c r="AQ162" s="68"/>
      <c r="AR162" s="21">
        <f>L163*'[2]Lfill en &amp; composn'!$I$87/SUM('[2]Lfill en &amp; composn'!$I$82,'[2]Lfill en &amp; composn'!$I$84:$I$85,'[2]Lfill en &amp; composn'!$I$87:$I$88)*'[2]Lfill en &amp; composn'!$D$21</f>
        <v>326.36762874245301</v>
      </c>
      <c r="AS162" s="35">
        <f>AR162/SUM($AR$148:$AR$190)</f>
        <v>1.4399093768500285E-3</v>
      </c>
      <c r="AT162" s="21">
        <f>AS162*'[2]Lfill en &amp; composn'!$I$60/'[2]Lfill en &amp; composn'!$B$21</f>
        <v>1300.9801011590203</v>
      </c>
      <c r="AU162" s="25"/>
      <c r="AV162" s="21"/>
      <c r="AW162" s="22"/>
      <c r="AX162" s="2"/>
      <c r="AY162" s="23"/>
      <c r="AZ162" s="19"/>
      <c r="BA162" s="19"/>
      <c r="BB162" s="21"/>
      <c r="BC162" s="24"/>
    </row>
    <row r="163" spans="1:80" s="106" customFormat="1">
      <c r="A163" s="699"/>
      <c r="B163" s="107" t="s">
        <v>67</v>
      </c>
      <c r="C163" s="108"/>
      <c r="D163" s="109"/>
      <c r="E163" s="110"/>
      <c r="F163" s="110"/>
      <c r="G163" s="111"/>
      <c r="H163" s="110"/>
      <c r="I163" s="112">
        <f>D191*[2]WA!$F$382</f>
        <v>674090.34848484851</v>
      </c>
      <c r="J163" s="113">
        <f>E191*[2]WA!J$349</f>
        <v>581143.11521970876</v>
      </c>
      <c r="K163" s="113">
        <f>F191*[2]WA!K$349</f>
        <v>74042.690067645366</v>
      </c>
      <c r="L163" s="114">
        <f>SUM(I163:K163)</f>
        <v>1329276.1537722026</v>
      </c>
      <c r="M163" s="110"/>
      <c r="N163" s="112">
        <f>I163-AU163</f>
        <v>593531.818981444</v>
      </c>
      <c r="O163" s="113">
        <f>J163-AV163</f>
        <v>511692.43268382084</v>
      </c>
      <c r="P163" s="113">
        <f>K163-AW163</f>
        <v>65194.068743021977</v>
      </c>
      <c r="Q163" s="114">
        <f>SUM(N163:P163)</f>
        <v>1170418.3204082868</v>
      </c>
      <c r="R163" s="115">
        <f>Q163/[2]Popn!$I$40*1000</f>
        <v>559.12306398287353</v>
      </c>
      <c r="T163" s="109"/>
      <c r="U163" s="110"/>
      <c r="V163" s="110"/>
      <c r="W163" s="203"/>
      <c r="X163" s="130"/>
      <c r="Y163" s="130"/>
      <c r="Z163" s="130"/>
      <c r="AA163" s="276"/>
      <c r="AB163" s="113"/>
      <c r="AC163" s="113"/>
      <c r="AD163" s="113"/>
      <c r="AE163" s="113"/>
      <c r="AF163" s="117"/>
      <c r="AG163" s="112"/>
      <c r="AH163" s="113"/>
      <c r="AI163" s="113"/>
      <c r="AJ163" s="114">
        <f>SUM(AJ158:AJ162)</f>
        <v>343643</v>
      </c>
      <c r="AK163" s="118">
        <f>SUM(AK158:AK162)</f>
        <v>164.16243980976066</v>
      </c>
      <c r="AL163" s="119"/>
      <c r="AM163" s="109"/>
      <c r="AN163" s="110"/>
      <c r="AO163" s="110"/>
      <c r="AP163" s="111"/>
      <c r="AQ163" s="116"/>
      <c r="AR163" s="113"/>
      <c r="AS163" s="113"/>
      <c r="AT163" s="113">
        <f>SUM(AT158:AT162)</f>
        <v>158857.83336391579</v>
      </c>
      <c r="AU163" s="120">
        <f>$AT163*I163/SUM($I163:$K163)</f>
        <v>80558.529503404468</v>
      </c>
      <c r="AV163" s="113">
        <f>$AT163*J163/SUM($I163:$K163)</f>
        <v>69450.682535887943</v>
      </c>
      <c r="AW163" s="114">
        <f>$AT163*K163/SUM($I163:$K163)</f>
        <v>8848.6213246233892</v>
      </c>
      <c r="AX163" s="110"/>
      <c r="AY163" s="241">
        <f>AU163</f>
        <v>80558.529503404468</v>
      </c>
      <c r="AZ163" s="242">
        <f>AV163</f>
        <v>69450.682535887943</v>
      </c>
      <c r="BA163" s="242">
        <f>AW163</f>
        <v>8848.6213246233892</v>
      </c>
      <c r="BB163" s="243">
        <f>AT163+AP163</f>
        <v>158857.83336391579</v>
      </c>
      <c r="BC163" s="118">
        <f>BB163/[2]Popn!$I$40*1000</f>
        <v>75.888318714226159</v>
      </c>
      <c r="BD163" s="122"/>
      <c r="BG163" s="146"/>
      <c r="BH163" s="138" t="s">
        <v>72</v>
      </c>
      <c r="BI163" s="138" t="s">
        <v>68</v>
      </c>
      <c r="BJ163" s="138" t="s">
        <v>69</v>
      </c>
      <c r="BK163" s="138" t="s">
        <v>73</v>
      </c>
      <c r="BL163" s="138" t="s">
        <v>78</v>
      </c>
      <c r="BM163" s="6"/>
      <c r="BN163" s="6"/>
      <c r="BO163" s="6"/>
      <c r="BU163" s="6"/>
      <c r="BV163" s="6"/>
      <c r="BW163" s="6"/>
      <c r="BX163" s="6"/>
      <c r="BY163" s="6"/>
      <c r="BZ163" s="6"/>
      <c r="CA163" s="6"/>
      <c r="CB163" s="6"/>
    </row>
    <row r="164" spans="1:80">
      <c r="A164" s="699"/>
      <c r="B164" s="23" t="s">
        <v>5</v>
      </c>
      <c r="C164" s="17" t="s">
        <v>26</v>
      </c>
      <c r="D164" s="57"/>
      <c r="E164" s="2"/>
      <c r="F164" s="2"/>
      <c r="G164" s="63"/>
      <c r="H164" s="2"/>
      <c r="I164" s="20"/>
      <c r="J164" s="21"/>
      <c r="K164" s="21"/>
      <c r="L164" s="22"/>
      <c r="M164" s="2"/>
      <c r="N164" s="23"/>
      <c r="O164" s="19"/>
      <c r="P164" s="19"/>
      <c r="Q164" s="19"/>
      <c r="R164" s="33"/>
      <c r="T164" s="57"/>
      <c r="U164" s="2"/>
      <c r="V164" s="2"/>
      <c r="W164" s="199">
        <f>[2]WA!T78</f>
        <v>120330</v>
      </c>
      <c r="X164" s="198"/>
      <c r="Y164" s="198"/>
      <c r="Z164" s="198"/>
      <c r="AA164" s="274"/>
      <c r="AB164" s="21"/>
      <c r="AC164" s="21"/>
      <c r="AD164" s="21"/>
      <c r="AE164" s="21"/>
      <c r="AF164" s="70"/>
      <c r="AG164" s="20"/>
      <c r="AH164" s="21"/>
      <c r="AI164" s="21"/>
      <c r="AJ164" s="22">
        <f>W164</f>
        <v>120330</v>
      </c>
      <c r="AK164" s="29">
        <f>AJ164/[2]Popn!$I$40*1000</f>
        <v>57.483104216609981</v>
      </c>
      <c r="AL164" s="19"/>
      <c r="AM164" s="57"/>
      <c r="AN164" s="2"/>
      <c r="AO164" s="2"/>
      <c r="AP164" s="63"/>
      <c r="AQ164" s="68"/>
      <c r="AR164" s="21"/>
      <c r="AS164" s="21"/>
      <c r="AT164" s="21"/>
      <c r="AU164" s="240"/>
      <c r="AV164" s="19"/>
      <c r="AW164" s="195"/>
      <c r="AX164" s="2"/>
      <c r="AY164" s="238"/>
      <c r="BB164" s="19"/>
      <c r="BC164" s="24"/>
      <c r="BG164" s="147" t="s">
        <v>3</v>
      </c>
      <c r="BH164" s="52">
        <f>Q153/1000</f>
        <v>1750.705910830505</v>
      </c>
      <c r="BI164" s="52">
        <f>AJ153/1000</f>
        <v>393.87</v>
      </c>
      <c r="BJ164" s="52">
        <f>BB153/1000</f>
        <v>0</v>
      </c>
      <c r="BK164" s="137">
        <f>SUM(BI164:BJ164)/BL164</f>
        <v>0.18365868888617262</v>
      </c>
      <c r="BL164" s="52">
        <f>SUM(BH164:BJ164)</f>
        <v>2144.5759108305051</v>
      </c>
      <c r="BU164" s="106"/>
      <c r="BV164" s="106"/>
      <c r="BW164" s="106"/>
      <c r="BX164" s="106"/>
      <c r="BY164" s="106"/>
      <c r="BZ164" s="106"/>
      <c r="CA164" s="106"/>
      <c r="CB164" s="106"/>
    </row>
    <row r="165" spans="1:80">
      <c r="A165" s="699"/>
      <c r="B165" s="23"/>
      <c r="C165" s="17" t="s">
        <v>27</v>
      </c>
      <c r="D165" s="57"/>
      <c r="E165" s="2"/>
      <c r="F165" s="2"/>
      <c r="G165" s="63"/>
      <c r="H165" s="2"/>
      <c r="I165" s="20"/>
      <c r="J165" s="21"/>
      <c r="K165" s="21"/>
      <c r="L165" s="22"/>
      <c r="M165" s="2"/>
      <c r="N165" s="23"/>
      <c r="O165" s="19"/>
      <c r="P165" s="19"/>
      <c r="Q165" s="19"/>
      <c r="R165" s="33"/>
      <c r="T165" s="57"/>
      <c r="U165" s="2"/>
      <c r="V165" s="2"/>
      <c r="W165" s="199">
        <f>[2]WA!T79</f>
        <v>0</v>
      </c>
      <c r="X165" s="198"/>
      <c r="Y165" s="198"/>
      <c r="Z165" s="198"/>
      <c r="AA165" s="274"/>
      <c r="AB165" s="21"/>
      <c r="AC165" s="21"/>
      <c r="AD165" s="21"/>
      <c r="AE165" s="21"/>
      <c r="AF165" s="70"/>
      <c r="AG165" s="20"/>
      <c r="AH165" s="21"/>
      <c r="AI165" s="21"/>
      <c r="AJ165" s="22">
        <f>W165</f>
        <v>0</v>
      </c>
      <c r="AK165" s="29">
        <f>AJ165/[2]Popn!$I$40*1000</f>
        <v>0</v>
      </c>
      <c r="AL165" s="19"/>
      <c r="AM165" s="57"/>
      <c r="AN165" s="2"/>
      <c r="AO165" s="2"/>
      <c r="AP165" s="63"/>
      <c r="AQ165" s="68"/>
      <c r="AR165" s="21"/>
      <c r="AS165" s="21"/>
      <c r="AT165" s="21"/>
      <c r="AU165" s="240"/>
      <c r="AV165" s="19"/>
      <c r="AW165" s="195"/>
      <c r="AX165" s="2"/>
      <c r="AY165" s="238"/>
      <c r="BB165" s="19"/>
      <c r="BC165" s="24"/>
      <c r="BG165" s="147" t="s">
        <v>4</v>
      </c>
      <c r="BH165" s="52">
        <f>Q157/1000</f>
        <v>98.88713414895112</v>
      </c>
      <c r="BI165" s="52">
        <f>AJ157/1000</f>
        <v>501.3</v>
      </c>
      <c r="BJ165" s="52">
        <f>BB157/1000</f>
        <v>0</v>
      </c>
      <c r="BK165" s="137">
        <f t="shared" ref="BK165:BK172" si="27">SUM(BI165:BJ165)/BL165</f>
        <v>0.83523949694594779</v>
      </c>
      <c r="BL165" s="52">
        <f t="shared" ref="BL165:BL172" si="28">SUM(BH165:BJ165)</f>
        <v>600.18713414895115</v>
      </c>
    </row>
    <row r="166" spans="1:80">
      <c r="A166" s="699"/>
      <c r="B166" s="23"/>
      <c r="C166" s="17" t="s">
        <v>28</v>
      </c>
      <c r="D166" s="57"/>
      <c r="E166" s="2"/>
      <c r="F166" s="2"/>
      <c r="G166" s="63"/>
      <c r="H166" s="2"/>
      <c r="I166" s="20"/>
      <c r="J166" s="21"/>
      <c r="K166" s="21"/>
      <c r="L166" s="22"/>
      <c r="M166" s="2"/>
      <c r="N166" s="23"/>
      <c r="O166" s="19"/>
      <c r="P166" s="19"/>
      <c r="Q166" s="19"/>
      <c r="R166" s="33"/>
      <c r="T166" s="57"/>
      <c r="U166" s="2"/>
      <c r="V166" s="2"/>
      <c r="W166" s="199">
        <f>[2]WA!T80</f>
        <v>91230</v>
      </c>
      <c r="X166" s="198"/>
      <c r="Y166" s="198"/>
      <c r="Z166" s="198"/>
      <c r="AA166" s="274"/>
      <c r="AB166" s="21"/>
      <c r="AC166" s="21"/>
      <c r="AD166" s="21"/>
      <c r="AE166" s="21"/>
      <c r="AF166" s="70"/>
      <c r="AG166" s="20"/>
      <c r="AH166" s="21"/>
      <c r="AI166" s="21"/>
      <c r="AJ166" s="22">
        <f>W166</f>
        <v>91230</v>
      </c>
      <c r="AK166" s="29">
        <f>AJ166/[2]Popn!$I$40*1000</f>
        <v>43.581680359688598</v>
      </c>
      <c r="AL166" s="19"/>
      <c r="AM166" s="57"/>
      <c r="AN166" s="2"/>
      <c r="AO166" s="2"/>
      <c r="AP166" s="63"/>
      <c r="AQ166" s="68"/>
      <c r="AR166" s="21"/>
      <c r="AS166" s="21"/>
      <c r="AT166" s="21"/>
      <c r="AU166" s="240"/>
      <c r="AV166" s="19"/>
      <c r="AW166" s="195"/>
      <c r="AX166" s="2"/>
      <c r="AY166" s="238"/>
      <c r="BB166" s="19"/>
      <c r="BC166" s="24"/>
      <c r="BG166" s="147" t="s">
        <v>2</v>
      </c>
      <c r="BH166" s="52">
        <f>Q163/1000</f>
        <v>1170.4183204082867</v>
      </c>
      <c r="BI166" s="52">
        <f>AJ163/1000</f>
        <v>343.64299999999997</v>
      </c>
      <c r="BJ166" s="52">
        <f>BB163/1000</f>
        <v>158.8578333639158</v>
      </c>
      <c r="BK166" s="137">
        <f t="shared" si="27"/>
        <v>0.30037365059204774</v>
      </c>
      <c r="BL166" s="52">
        <f t="shared" si="28"/>
        <v>1672.9191537722027</v>
      </c>
    </row>
    <row r="167" spans="1:80">
      <c r="A167" s="699"/>
      <c r="B167" s="23"/>
      <c r="C167" s="17" t="s">
        <v>29</v>
      </c>
      <c r="D167" s="57"/>
      <c r="E167" s="2"/>
      <c r="F167" s="2"/>
      <c r="G167" s="63"/>
      <c r="H167" s="2"/>
      <c r="I167" s="20"/>
      <c r="J167" s="21"/>
      <c r="K167" s="21"/>
      <c r="L167" s="22"/>
      <c r="M167" s="2"/>
      <c r="N167" s="23"/>
      <c r="O167" s="19"/>
      <c r="P167" s="19"/>
      <c r="Q167" s="19"/>
      <c r="R167" s="33"/>
      <c r="T167" s="57"/>
      <c r="U167" s="2"/>
      <c r="V167" s="2"/>
      <c r="W167" s="199">
        <f>[2]WA!T81</f>
        <v>14200</v>
      </c>
      <c r="X167" s="198"/>
      <c r="Y167" s="198"/>
      <c r="Z167" s="198"/>
      <c r="AA167" s="274"/>
      <c r="AB167" s="21"/>
      <c r="AC167" s="21"/>
      <c r="AD167" s="21"/>
      <c r="AE167" s="21"/>
      <c r="AF167" s="70"/>
      <c r="AG167" s="20"/>
      <c r="AH167" s="21"/>
      <c r="AI167" s="21"/>
      <c r="AJ167" s="22">
        <f>W167</f>
        <v>14200</v>
      </c>
      <c r="AK167" s="29">
        <f>AJ167/[2]Popn!$I$40*1000</f>
        <v>6.7835126724496106</v>
      </c>
      <c r="AL167" s="19"/>
      <c r="AM167" s="57"/>
      <c r="AN167" s="2"/>
      <c r="AO167" s="2"/>
      <c r="AP167" s="63"/>
      <c r="AQ167" s="68"/>
      <c r="AR167" s="21"/>
      <c r="AS167" s="21"/>
      <c r="AT167" s="21"/>
      <c r="AU167" s="240"/>
      <c r="AV167" s="19"/>
      <c r="AW167" s="195"/>
      <c r="AX167" s="2"/>
      <c r="AY167" s="238"/>
      <c r="BB167" s="19"/>
      <c r="BC167" s="24"/>
      <c r="BG167" s="147" t="s">
        <v>5</v>
      </c>
      <c r="BH167" s="52">
        <f>Q168/1000</f>
        <v>315.16133078632072</v>
      </c>
      <c r="BI167" s="52">
        <f>AJ168/1000</f>
        <v>225.76</v>
      </c>
      <c r="BJ167" s="52">
        <f>BB168/1000</f>
        <v>34.110947183261999</v>
      </c>
      <c r="BK167" s="137">
        <f t="shared" si="27"/>
        <v>0.45192410433177155</v>
      </c>
      <c r="BL167" s="52">
        <f t="shared" si="28"/>
        <v>575.03227796958276</v>
      </c>
    </row>
    <row r="168" spans="1:80" s="106" customFormat="1">
      <c r="A168" s="699"/>
      <c r="B168" s="107" t="s">
        <v>67</v>
      </c>
      <c r="C168" s="108"/>
      <c r="D168" s="109"/>
      <c r="E168" s="110"/>
      <c r="F168" s="110"/>
      <c r="G168" s="111"/>
      <c r="H168" s="110"/>
      <c r="I168" s="112">
        <f>D191*[2]WA!$F$383</f>
        <v>117078.85</v>
      </c>
      <c r="J168" s="113">
        <f>E191*[2]WA!J$350</f>
        <v>223801.9230952496</v>
      </c>
      <c r="K168" s="113">
        <f>F191*[2]WA!K$350</f>
        <v>8391.5048743331408</v>
      </c>
      <c r="L168" s="114">
        <f>SUM(I168:K168)</f>
        <v>349272.27796958276</v>
      </c>
      <c r="M168" s="110"/>
      <c r="N168" s="112">
        <f>I168-AU168</f>
        <v>105644.58876448663</v>
      </c>
      <c r="O168" s="113">
        <f>J168-AV168</f>
        <v>201944.77593603716</v>
      </c>
      <c r="P168" s="113">
        <f>K168-AW168</f>
        <v>7571.966085796962</v>
      </c>
      <c r="Q168" s="114">
        <f>SUM(N168:P168)</f>
        <v>315161.33078632073</v>
      </c>
      <c r="R168" s="115">
        <f>Q168/[2]Popn!$I$40*1000</f>
        <v>150.55640008838665</v>
      </c>
      <c r="T168" s="109"/>
      <c r="U168" s="110"/>
      <c r="V168" s="110"/>
      <c r="W168" s="203"/>
      <c r="X168" s="130"/>
      <c r="Y168" s="130"/>
      <c r="Z168" s="130"/>
      <c r="AA168" s="276"/>
      <c r="AB168" s="113"/>
      <c r="AC168" s="113"/>
      <c r="AD168" s="113"/>
      <c r="AE168" s="113"/>
      <c r="AF168" s="117"/>
      <c r="AG168" s="112"/>
      <c r="AH168" s="113"/>
      <c r="AI168" s="113"/>
      <c r="AJ168" s="114">
        <f>SUM(AJ164:AJ167)</f>
        <v>225760</v>
      </c>
      <c r="AK168" s="118">
        <f>SUM(AK164:AK167)</f>
        <v>107.8482972487482</v>
      </c>
      <c r="AL168" s="119"/>
      <c r="AM168" s="109"/>
      <c r="AN168" s="110"/>
      <c r="AO168" s="110"/>
      <c r="AP168" s="111"/>
      <c r="AQ168" s="117"/>
      <c r="AR168" s="113">
        <f>L168*'[2]Lfill en &amp; composn'!$D$17</f>
        <v>68457.366482038226</v>
      </c>
      <c r="AS168" s="123">
        <f>AR168/SUM($AR$148:$AR$190)</f>
        <v>0.30202874069269986</v>
      </c>
      <c r="AT168" s="113">
        <f>AS168*'[2]Lfill en &amp; composn'!$I$60/'[2]Lfill en &amp; composn'!$B$17</f>
        <v>34110.947183261997</v>
      </c>
      <c r="AU168" s="120">
        <f>$AT168*I168/SUM($I168:$K168)</f>
        <v>11434.261235513381</v>
      </c>
      <c r="AV168" s="113">
        <f>$AT168*J168/SUM($I168:$K168)</f>
        <v>21857.147159212436</v>
      </c>
      <c r="AW168" s="114">
        <f>$AT168*K168/SUM($I168:$K168)</f>
        <v>819.5387885361788</v>
      </c>
      <c r="AX168" s="110"/>
      <c r="AY168" s="241">
        <f>AU168</f>
        <v>11434.261235513381</v>
      </c>
      <c r="AZ168" s="242">
        <f>AV168</f>
        <v>21857.147159212436</v>
      </c>
      <c r="BA168" s="242">
        <f>AW168</f>
        <v>819.5387885361788</v>
      </c>
      <c r="BB168" s="114">
        <f>AT168+AP168</f>
        <v>34110.947183261997</v>
      </c>
      <c r="BC168" s="118">
        <f>BB168/[2]Popn!$I$40*1000</f>
        <v>16.295214259642052</v>
      </c>
      <c r="BD168" s="122"/>
      <c r="BG168" s="147" t="s">
        <v>6</v>
      </c>
      <c r="BH168" s="52">
        <f>Q178/1000</f>
        <v>229.97167425430067</v>
      </c>
      <c r="BI168" s="52">
        <f>AJ178/1000</f>
        <v>0</v>
      </c>
      <c r="BJ168" s="52">
        <f>BB178/1000</f>
        <v>0</v>
      </c>
      <c r="BK168" s="137">
        <f t="shared" si="27"/>
        <v>0</v>
      </c>
      <c r="BL168" s="52">
        <f t="shared" si="28"/>
        <v>229.97167425430067</v>
      </c>
      <c r="BM168" s="6"/>
      <c r="BN168" s="6"/>
      <c r="BO168" s="6"/>
      <c r="BU168" s="6"/>
      <c r="BV168" s="6"/>
      <c r="BW168" s="6"/>
      <c r="BX168" s="6"/>
      <c r="BY168" s="6"/>
      <c r="BZ168" s="6"/>
      <c r="CA168" s="6"/>
      <c r="CB168" s="6"/>
    </row>
    <row r="169" spans="1:80">
      <c r="A169" s="699"/>
      <c r="B169" s="23" t="s">
        <v>6</v>
      </c>
      <c r="C169" s="17" t="s">
        <v>30</v>
      </c>
      <c r="D169" s="57"/>
      <c r="E169" s="2"/>
      <c r="F169" s="2"/>
      <c r="G169" s="63"/>
      <c r="H169" s="2"/>
      <c r="I169" s="20"/>
      <c r="J169" s="21"/>
      <c r="K169" s="21"/>
      <c r="L169" s="22"/>
      <c r="M169" s="2"/>
      <c r="N169" s="23"/>
      <c r="O169" s="19"/>
      <c r="P169" s="19"/>
      <c r="Q169" s="19"/>
      <c r="R169" s="33"/>
      <c r="T169" s="57"/>
      <c r="U169" s="2"/>
      <c r="V169" s="2"/>
      <c r="W169" s="199"/>
      <c r="X169" s="198"/>
      <c r="Y169" s="198"/>
      <c r="Z169" s="198"/>
      <c r="AA169" s="274"/>
      <c r="AB169" s="21"/>
      <c r="AC169" s="21"/>
      <c r="AD169" s="21"/>
      <c r="AE169" s="21"/>
      <c r="AF169" s="70"/>
      <c r="AG169" s="20"/>
      <c r="AH169" s="21"/>
      <c r="AI169" s="21"/>
      <c r="AJ169" s="22">
        <f>W169</f>
        <v>0</v>
      </c>
      <c r="AK169" s="29"/>
      <c r="AL169" s="19"/>
      <c r="AM169" s="57"/>
      <c r="AN169" s="2"/>
      <c r="AO169" s="2"/>
      <c r="AP169" s="63"/>
      <c r="AQ169" s="68"/>
      <c r="AR169" s="21"/>
      <c r="AS169" s="21"/>
      <c r="AT169" s="21"/>
      <c r="AU169" s="240"/>
      <c r="AV169" s="19"/>
      <c r="AW169" s="195"/>
      <c r="AX169" s="2"/>
      <c r="AY169" s="238"/>
      <c r="BB169" s="19"/>
      <c r="BC169" s="24"/>
      <c r="BG169" s="147" t="s">
        <v>8</v>
      </c>
      <c r="BH169" s="52">
        <f>Q179/1000</f>
        <v>84.308861787781623</v>
      </c>
      <c r="BI169" s="52">
        <f>AJ179/1000</f>
        <v>20.8</v>
      </c>
      <c r="BJ169" s="52">
        <f>BB179/1000</f>
        <v>0</v>
      </c>
      <c r="BK169" s="137">
        <f t="shared" si="27"/>
        <v>0.19789006984012358</v>
      </c>
      <c r="BL169" s="52">
        <f t="shared" si="28"/>
        <v>105.10886178778162</v>
      </c>
      <c r="BU169" s="106"/>
      <c r="BV169" s="106"/>
      <c r="BW169" s="106"/>
      <c r="BX169" s="106"/>
      <c r="BY169" s="106"/>
      <c r="BZ169" s="106"/>
      <c r="CA169" s="106"/>
      <c r="CB169" s="106"/>
    </row>
    <row r="170" spans="1:80">
      <c r="A170" s="699"/>
      <c r="B170" s="23"/>
      <c r="C170" s="17" t="s">
        <v>31</v>
      </c>
      <c r="D170" s="57"/>
      <c r="E170" s="2"/>
      <c r="F170" s="2"/>
      <c r="G170" s="63"/>
      <c r="H170" s="2"/>
      <c r="I170" s="20"/>
      <c r="J170" s="21"/>
      <c r="K170" s="21"/>
      <c r="L170" s="22"/>
      <c r="M170" s="2"/>
      <c r="N170" s="23"/>
      <c r="O170" s="19"/>
      <c r="P170" s="19"/>
      <c r="Q170" s="19"/>
      <c r="R170" s="33"/>
      <c r="T170" s="57"/>
      <c r="U170" s="2"/>
      <c r="V170" s="2"/>
      <c r="W170" s="199"/>
      <c r="X170" s="198"/>
      <c r="Y170" s="198"/>
      <c r="Z170" s="198"/>
      <c r="AA170" s="274"/>
      <c r="AB170" s="21"/>
      <c r="AC170" s="21"/>
      <c r="AD170" s="21"/>
      <c r="AE170" s="21"/>
      <c r="AF170" s="70"/>
      <c r="AG170" s="20"/>
      <c r="AH170" s="21"/>
      <c r="AI170" s="21"/>
      <c r="AJ170" s="22">
        <f>W170</f>
        <v>0</v>
      </c>
      <c r="AK170" s="29"/>
      <c r="AL170" s="19"/>
      <c r="AM170" s="57"/>
      <c r="AN170" s="2"/>
      <c r="AO170" s="2"/>
      <c r="AP170" s="63"/>
      <c r="AQ170" s="68"/>
      <c r="AR170" s="21"/>
      <c r="AS170" s="21"/>
      <c r="AT170" s="21"/>
      <c r="AU170" s="240"/>
      <c r="AV170" s="19"/>
      <c r="AW170" s="195"/>
      <c r="AX170" s="2"/>
      <c r="AY170" s="238"/>
      <c r="BB170" s="19"/>
      <c r="BC170" s="24"/>
      <c r="BG170" s="147" t="s">
        <v>7</v>
      </c>
      <c r="BH170" s="52">
        <f>Q182/1000</f>
        <v>60.743831032345149</v>
      </c>
      <c r="BI170" s="52">
        <f>AJ182/1000</f>
        <v>7.1</v>
      </c>
      <c r="BJ170" s="52">
        <f>BB182/1000</f>
        <v>5.3746229234890395</v>
      </c>
      <c r="BK170" s="137">
        <f t="shared" si="27"/>
        <v>0.17037539376362423</v>
      </c>
      <c r="BL170" s="52">
        <f t="shared" si="28"/>
        <v>73.218453955834192</v>
      </c>
    </row>
    <row r="171" spans="1:80">
      <c r="A171" s="699"/>
      <c r="B171" s="23"/>
      <c r="C171" s="17" t="s">
        <v>32</v>
      </c>
      <c r="D171" s="57"/>
      <c r="E171" s="2"/>
      <c r="F171" s="2"/>
      <c r="G171" s="63"/>
      <c r="H171" s="2"/>
      <c r="I171" s="20"/>
      <c r="J171" s="21"/>
      <c r="K171" s="21"/>
      <c r="L171" s="22"/>
      <c r="M171" s="2"/>
      <c r="N171" s="23"/>
      <c r="O171" s="19"/>
      <c r="P171" s="19"/>
      <c r="Q171" s="19"/>
      <c r="R171" s="33"/>
      <c r="T171" s="57"/>
      <c r="U171" s="2"/>
      <c r="V171" s="2"/>
      <c r="W171" s="199"/>
      <c r="X171" s="198"/>
      <c r="Y171" s="198"/>
      <c r="Z171" s="198"/>
      <c r="AA171" s="274"/>
      <c r="AB171" s="21"/>
      <c r="AC171" s="21"/>
      <c r="AD171" s="21"/>
      <c r="AE171" s="21"/>
      <c r="AF171" s="70"/>
      <c r="AG171" s="20"/>
      <c r="AH171" s="21"/>
      <c r="AI171" s="21"/>
      <c r="AJ171" s="22">
        <f>W171</f>
        <v>0</v>
      </c>
      <c r="AK171" s="29"/>
      <c r="AL171" s="19"/>
      <c r="AM171" s="57"/>
      <c r="AN171" s="2"/>
      <c r="AO171" s="2"/>
      <c r="AP171" s="63"/>
      <c r="AQ171" s="68"/>
      <c r="AR171" s="21"/>
      <c r="AS171" s="21"/>
      <c r="AT171" s="21"/>
      <c r="AU171" s="240"/>
      <c r="AV171" s="19"/>
      <c r="AW171" s="195"/>
      <c r="AX171" s="2"/>
      <c r="AY171" s="238"/>
      <c r="BB171" s="19"/>
      <c r="BC171" s="24"/>
      <c r="BG171" s="147" t="s">
        <v>11</v>
      </c>
      <c r="BH171" s="52">
        <f>Q187/1000</f>
        <v>8.6456034775432933</v>
      </c>
      <c r="BI171" s="52">
        <f>AJ187/1000</f>
        <v>0</v>
      </c>
      <c r="BJ171" s="52">
        <f>BB187/1000</f>
        <v>0</v>
      </c>
      <c r="BK171" s="137">
        <f t="shared" si="27"/>
        <v>0</v>
      </c>
      <c r="BL171" s="52">
        <f t="shared" si="28"/>
        <v>8.6456034775432933</v>
      </c>
    </row>
    <row r="172" spans="1:80" s="90" customFormat="1">
      <c r="A172" s="699"/>
      <c r="B172" s="91" t="s">
        <v>42</v>
      </c>
      <c r="C172" s="92"/>
      <c r="D172" s="93"/>
      <c r="E172" s="94"/>
      <c r="F172" s="94"/>
      <c r="G172" s="95"/>
      <c r="H172" s="94"/>
      <c r="I172" s="96"/>
      <c r="J172" s="97"/>
      <c r="K172" s="97"/>
      <c r="L172" s="98"/>
      <c r="M172" s="94"/>
      <c r="N172" s="96"/>
      <c r="O172" s="97"/>
      <c r="P172" s="97"/>
      <c r="Q172" s="97"/>
      <c r="R172" s="99"/>
      <c r="T172" s="93"/>
      <c r="U172" s="94"/>
      <c r="V172" s="94"/>
      <c r="W172" s="211"/>
      <c r="X172" s="289"/>
      <c r="Y172" s="289"/>
      <c r="Z172" s="289"/>
      <c r="AA172" s="280"/>
      <c r="AB172" s="97"/>
      <c r="AC172" s="97"/>
      <c r="AD172" s="97"/>
      <c r="AE172" s="97"/>
      <c r="AF172" s="101"/>
      <c r="AG172" s="96"/>
      <c r="AH172" s="97"/>
      <c r="AI172" s="97"/>
      <c r="AJ172" s="98">
        <f>SUM(AJ169:AJ171)</f>
        <v>0</v>
      </c>
      <c r="AK172" s="102">
        <f>SUM(AK169:AK171)</f>
        <v>0</v>
      </c>
      <c r="AL172" s="103"/>
      <c r="AM172" s="93"/>
      <c r="AN172" s="94"/>
      <c r="AO172" s="94"/>
      <c r="AP172" s="95"/>
      <c r="AQ172" s="100"/>
      <c r="AR172" s="97"/>
      <c r="AS172" s="128"/>
      <c r="AT172" s="128"/>
      <c r="AU172" s="104"/>
      <c r="AV172" s="97"/>
      <c r="AW172" s="98"/>
      <c r="AX172" s="94"/>
      <c r="AY172" s="239"/>
      <c r="BB172" s="97"/>
      <c r="BC172" s="105"/>
      <c r="BG172" s="147" t="s">
        <v>1</v>
      </c>
      <c r="BH172" s="52">
        <f>Q188/1000</f>
        <v>349.64666014071577</v>
      </c>
      <c r="BI172" s="52">
        <f>AJ188/1000</f>
        <v>211.30259804221475</v>
      </c>
      <c r="BJ172" s="52">
        <f>BB188/1000</f>
        <v>0</v>
      </c>
      <c r="BK172" s="137">
        <f t="shared" si="27"/>
        <v>0.37668754340933114</v>
      </c>
      <c r="BL172" s="52">
        <f t="shared" si="28"/>
        <v>560.94925818293052</v>
      </c>
      <c r="BM172" s="6"/>
      <c r="BN172" s="6"/>
      <c r="BO172" s="6"/>
      <c r="BU172" s="6"/>
      <c r="BV172" s="6"/>
      <c r="BW172" s="6"/>
      <c r="BX172" s="6"/>
      <c r="BY172" s="6"/>
      <c r="BZ172" s="6"/>
      <c r="CA172" s="6"/>
      <c r="CB172" s="6"/>
    </row>
    <row r="173" spans="1:80">
      <c r="A173" s="699"/>
      <c r="B173" s="23"/>
      <c r="C173" s="17" t="s">
        <v>33</v>
      </c>
      <c r="D173" s="57"/>
      <c r="E173" s="2"/>
      <c r="F173" s="2"/>
      <c r="G173" s="63"/>
      <c r="H173" s="2"/>
      <c r="I173" s="20"/>
      <c r="J173" s="21"/>
      <c r="K173" s="21"/>
      <c r="L173" s="22"/>
      <c r="M173" s="2"/>
      <c r="N173" s="23"/>
      <c r="O173" s="19"/>
      <c r="P173" s="19"/>
      <c r="Q173" s="19"/>
      <c r="R173" s="33"/>
      <c r="T173" s="57"/>
      <c r="U173" s="2"/>
      <c r="V173" s="2"/>
      <c r="W173" s="199"/>
      <c r="X173" s="198"/>
      <c r="Y173" s="198"/>
      <c r="Z173" s="198"/>
      <c r="AA173" s="274"/>
      <c r="AB173" s="21"/>
      <c r="AC173" s="21"/>
      <c r="AD173" s="21"/>
      <c r="AE173" s="21"/>
      <c r="AF173" s="70"/>
      <c r="AG173" s="20"/>
      <c r="AH173" s="21"/>
      <c r="AI173" s="21"/>
      <c r="AJ173" s="22">
        <f>W173</f>
        <v>0</v>
      </c>
      <c r="AK173" s="29"/>
      <c r="AL173" s="19"/>
      <c r="AM173" s="57"/>
      <c r="AN173" s="2"/>
      <c r="AO173" s="2"/>
      <c r="AP173" s="63"/>
      <c r="AQ173" s="68"/>
      <c r="AR173" s="21"/>
      <c r="AS173" s="21"/>
      <c r="AT173" s="21"/>
      <c r="AU173" s="240"/>
      <c r="AV173" s="19"/>
      <c r="AW173" s="195"/>
      <c r="AX173" s="2"/>
      <c r="AY173" s="238"/>
      <c r="BB173" s="19"/>
      <c r="BC173" s="24"/>
      <c r="BG173" s="142"/>
      <c r="BU173" s="90"/>
      <c r="BV173" s="90"/>
      <c r="BW173" s="90"/>
      <c r="BX173" s="90"/>
      <c r="BY173" s="90"/>
      <c r="BZ173" s="90"/>
      <c r="CA173" s="90"/>
      <c r="CB173" s="90"/>
    </row>
    <row r="174" spans="1:80">
      <c r="A174" s="699"/>
      <c r="B174" s="23"/>
      <c r="C174" s="17" t="s">
        <v>34</v>
      </c>
      <c r="D174" s="57"/>
      <c r="E174" s="2"/>
      <c r="F174" s="2"/>
      <c r="G174" s="63"/>
      <c r="H174" s="2"/>
      <c r="I174" s="20"/>
      <c r="J174" s="21"/>
      <c r="K174" s="21"/>
      <c r="L174" s="22"/>
      <c r="M174" s="2"/>
      <c r="N174" s="23"/>
      <c r="O174" s="19"/>
      <c r="P174" s="19"/>
      <c r="Q174" s="19"/>
      <c r="R174" s="33"/>
      <c r="T174" s="57"/>
      <c r="U174" s="2"/>
      <c r="V174" s="2"/>
      <c r="W174" s="199"/>
      <c r="X174" s="198"/>
      <c r="Y174" s="198"/>
      <c r="Z174" s="198"/>
      <c r="AA174" s="274"/>
      <c r="AB174" s="21"/>
      <c r="AC174" s="21"/>
      <c r="AD174" s="21"/>
      <c r="AE174" s="21"/>
      <c r="AF174" s="70"/>
      <c r="AG174" s="20"/>
      <c r="AH174" s="21"/>
      <c r="AI174" s="21"/>
      <c r="AJ174" s="22">
        <f>W174</f>
        <v>0</v>
      </c>
      <c r="AK174" s="29"/>
      <c r="AL174" s="19"/>
      <c r="AM174" s="57"/>
      <c r="AN174" s="2"/>
      <c r="AO174" s="2"/>
      <c r="AP174" s="63"/>
      <c r="AQ174" s="68"/>
      <c r="AR174" s="21"/>
      <c r="AS174" s="21"/>
      <c r="AT174" s="21"/>
      <c r="AU174" s="240"/>
      <c r="AV174" s="19"/>
      <c r="AW174" s="195"/>
      <c r="AX174" s="2"/>
      <c r="AY174" s="238"/>
      <c r="BB174" s="19"/>
      <c r="BC174" s="24"/>
    </row>
    <row r="175" spans="1:80">
      <c r="A175" s="699"/>
      <c r="B175" s="23"/>
      <c r="C175" s="17" t="s">
        <v>35</v>
      </c>
      <c r="D175" s="57"/>
      <c r="E175" s="2"/>
      <c r="F175" s="2"/>
      <c r="G175" s="63"/>
      <c r="H175" s="2"/>
      <c r="I175" s="20"/>
      <c r="J175" s="21"/>
      <c r="K175" s="21"/>
      <c r="L175" s="22"/>
      <c r="M175" s="2"/>
      <c r="N175" s="23"/>
      <c r="O175" s="19"/>
      <c r="P175" s="19"/>
      <c r="Q175" s="19"/>
      <c r="R175" s="33"/>
      <c r="T175" s="57"/>
      <c r="U175" s="2"/>
      <c r="V175" s="2"/>
      <c r="W175" s="199"/>
      <c r="X175" s="198"/>
      <c r="Y175" s="198"/>
      <c r="Z175" s="198"/>
      <c r="AA175" s="274"/>
      <c r="AB175" s="21"/>
      <c r="AC175" s="21"/>
      <c r="AD175" s="21"/>
      <c r="AE175" s="21"/>
      <c r="AF175" s="70"/>
      <c r="AG175" s="20"/>
      <c r="AH175" s="21"/>
      <c r="AI175" s="21"/>
      <c r="AJ175" s="22">
        <f>W175</f>
        <v>0</v>
      </c>
      <c r="AK175" s="29"/>
      <c r="AL175" s="19"/>
      <c r="AM175" s="57"/>
      <c r="AN175" s="2"/>
      <c r="AO175" s="2"/>
      <c r="AP175" s="63"/>
      <c r="AQ175" s="68"/>
      <c r="AR175" s="21"/>
      <c r="AS175" s="21"/>
      <c r="AT175" s="21"/>
      <c r="AU175" s="240"/>
      <c r="AV175" s="19"/>
      <c r="AW175" s="195"/>
      <c r="AX175" s="2"/>
      <c r="AY175" s="238"/>
      <c r="BB175" s="19"/>
      <c r="BC175" s="24"/>
    </row>
    <row r="176" spans="1:80">
      <c r="A176" s="699"/>
      <c r="B176" s="23"/>
      <c r="C176" s="17" t="s">
        <v>36</v>
      </c>
      <c r="D176" s="57"/>
      <c r="E176" s="2"/>
      <c r="F176" s="2"/>
      <c r="G176" s="63"/>
      <c r="H176" s="2"/>
      <c r="I176" s="20"/>
      <c r="J176" s="21"/>
      <c r="K176" s="21"/>
      <c r="L176" s="22"/>
      <c r="M176" s="2"/>
      <c r="N176" s="23"/>
      <c r="O176" s="19"/>
      <c r="P176" s="19"/>
      <c r="Q176" s="19"/>
      <c r="R176" s="33"/>
      <c r="T176" s="57"/>
      <c r="U176" s="2"/>
      <c r="V176" s="2"/>
      <c r="W176" s="199"/>
      <c r="X176" s="198"/>
      <c r="Y176" s="198"/>
      <c r="Z176" s="198"/>
      <c r="AA176" s="274"/>
      <c r="AB176" s="21"/>
      <c r="AC176" s="21"/>
      <c r="AD176" s="21"/>
      <c r="AE176" s="21"/>
      <c r="AF176" s="70"/>
      <c r="AG176" s="20"/>
      <c r="AH176" s="21"/>
      <c r="AI176" s="21"/>
      <c r="AJ176" s="22">
        <f>W176</f>
        <v>0</v>
      </c>
      <c r="AK176" s="29"/>
      <c r="AL176" s="19"/>
      <c r="AM176" s="57"/>
      <c r="AN176" s="2"/>
      <c r="AO176" s="2"/>
      <c r="AP176" s="63"/>
      <c r="AQ176" s="68"/>
      <c r="AR176" s="21"/>
      <c r="AS176" s="21"/>
      <c r="AT176" s="21"/>
      <c r="AU176" s="240"/>
      <c r="AV176" s="19"/>
      <c r="AW176" s="195"/>
      <c r="AX176" s="2"/>
      <c r="AY176" s="238"/>
      <c r="BB176" s="19"/>
      <c r="BC176" s="24"/>
    </row>
    <row r="177" spans="1:80" s="90" customFormat="1">
      <c r="A177" s="699"/>
      <c r="B177" s="91" t="s">
        <v>43</v>
      </c>
      <c r="C177" s="92"/>
      <c r="D177" s="93"/>
      <c r="E177" s="94"/>
      <c r="F177" s="94"/>
      <c r="G177" s="95"/>
      <c r="H177" s="94"/>
      <c r="I177" s="96"/>
      <c r="J177" s="97"/>
      <c r="K177" s="97"/>
      <c r="L177" s="98"/>
      <c r="M177" s="94"/>
      <c r="N177" s="96"/>
      <c r="O177" s="97"/>
      <c r="P177" s="97"/>
      <c r="Q177" s="97"/>
      <c r="R177" s="99"/>
      <c r="T177" s="93"/>
      <c r="U177" s="94"/>
      <c r="V177" s="94"/>
      <c r="W177" s="211"/>
      <c r="X177" s="289"/>
      <c r="Y177" s="289"/>
      <c r="Z177" s="289"/>
      <c r="AA177" s="280"/>
      <c r="AB177" s="97"/>
      <c r="AC177" s="97"/>
      <c r="AD177" s="97"/>
      <c r="AE177" s="97"/>
      <c r="AF177" s="101"/>
      <c r="AG177" s="96"/>
      <c r="AH177" s="97"/>
      <c r="AI177" s="97"/>
      <c r="AJ177" s="98">
        <f>SUM(AJ173:AJ176)</f>
        <v>0</v>
      </c>
      <c r="AK177" s="102">
        <f>SUM(AK173:AK176)</f>
        <v>0</v>
      </c>
      <c r="AL177" s="103"/>
      <c r="AM177" s="93"/>
      <c r="AN177" s="94"/>
      <c r="AO177" s="94"/>
      <c r="AP177" s="95"/>
      <c r="AQ177" s="100"/>
      <c r="AR177" s="97"/>
      <c r="AS177" s="97"/>
      <c r="AT177" s="97"/>
      <c r="AU177" s="104"/>
      <c r="AV177" s="97"/>
      <c r="AW177" s="98"/>
      <c r="AX177" s="94"/>
      <c r="AY177" s="239"/>
      <c r="BB177" s="97"/>
      <c r="BC177" s="105"/>
      <c r="BG177" s="143"/>
      <c r="BU177" s="6"/>
      <c r="BV177" s="6"/>
      <c r="BW177" s="6"/>
      <c r="BX177" s="6"/>
      <c r="BY177" s="6"/>
      <c r="BZ177" s="6"/>
      <c r="CA177" s="6"/>
      <c r="CB177" s="6"/>
    </row>
    <row r="178" spans="1:80" s="106" customFormat="1">
      <c r="A178" s="699"/>
      <c r="B178" s="107" t="s">
        <v>67</v>
      </c>
      <c r="C178" s="108"/>
      <c r="D178" s="109"/>
      <c r="E178" s="110"/>
      <c r="F178" s="110"/>
      <c r="G178" s="111"/>
      <c r="H178" s="110"/>
      <c r="I178" s="112">
        <f>D191*[2]WA!$F$384</f>
        <v>92243.942424242414</v>
      </c>
      <c r="J178" s="113">
        <f>E191*[2]WA!J$351</f>
        <v>129829.84488950942</v>
      </c>
      <c r="K178" s="113">
        <f>F191*[2]WA!K$351</f>
        <v>7897.8869405488394</v>
      </c>
      <c r="L178" s="114">
        <f>SUM(I178:K178)</f>
        <v>229971.67425430065</v>
      </c>
      <c r="M178" s="110"/>
      <c r="N178" s="112">
        <f t="shared" ref="N178:P179" si="29">I178-AU178</f>
        <v>92243.942424242414</v>
      </c>
      <c r="O178" s="113">
        <f t="shared" si="29"/>
        <v>129829.84488950942</v>
      </c>
      <c r="P178" s="113">
        <f t="shared" si="29"/>
        <v>7897.8869405488394</v>
      </c>
      <c r="Q178" s="114">
        <f>SUM(N178:P178)</f>
        <v>229971.67425430065</v>
      </c>
      <c r="R178" s="115">
        <f>Q178/[2]Popn!$I$40*1000</f>
        <v>109.86026525411989</v>
      </c>
      <c r="T178" s="202"/>
      <c r="U178" s="130"/>
      <c r="V178" s="130"/>
      <c r="W178" s="203">
        <f>[2]WA!$T$92</f>
        <v>18130</v>
      </c>
      <c r="X178" s="130"/>
      <c r="Y178" s="130"/>
      <c r="Z178" s="130"/>
      <c r="AA178" s="276"/>
      <c r="AB178" s="113"/>
      <c r="AC178" s="113"/>
      <c r="AD178" s="113"/>
      <c r="AE178" s="113"/>
      <c r="AF178" s="117"/>
      <c r="AG178" s="112"/>
      <c r="AH178" s="113"/>
      <c r="AI178" s="113"/>
      <c r="AJ178" s="114">
        <f>AJ172+AJ177</f>
        <v>0</v>
      </c>
      <c r="AK178" s="115">
        <f>AK172+AK177</f>
        <v>0</v>
      </c>
      <c r="AL178" s="119"/>
      <c r="AM178" s="109"/>
      <c r="AN178" s="110"/>
      <c r="AO178" s="110"/>
      <c r="AP178" s="111"/>
      <c r="AQ178" s="116"/>
      <c r="AR178" s="113"/>
      <c r="AS178" s="113"/>
      <c r="AT178" s="113"/>
      <c r="AU178" s="120"/>
      <c r="AV178" s="113"/>
      <c r="AW178" s="114"/>
      <c r="AX178" s="110"/>
      <c r="AY178" s="237"/>
      <c r="BB178" s="113"/>
      <c r="BC178" s="118">
        <f>BB178/[2]Popn!$I$40*1000</f>
        <v>0</v>
      </c>
      <c r="BG178" s="144"/>
      <c r="BU178" s="90"/>
      <c r="BV178" s="90"/>
      <c r="BW178" s="90"/>
      <c r="BX178" s="90"/>
      <c r="BY178" s="90"/>
      <c r="BZ178" s="90"/>
      <c r="CA178" s="90"/>
      <c r="CB178" s="90"/>
    </row>
    <row r="179" spans="1:80" s="106" customFormat="1">
      <c r="A179" s="699"/>
      <c r="B179" s="37" t="s">
        <v>8</v>
      </c>
      <c r="C179" s="129" t="s">
        <v>8</v>
      </c>
      <c r="D179" s="109"/>
      <c r="E179" s="110"/>
      <c r="F179" s="110"/>
      <c r="G179" s="111"/>
      <c r="H179" s="110"/>
      <c r="I179" s="112">
        <f>D191*[2]WA!$F$385</f>
        <v>70956.878787878784</v>
      </c>
      <c r="J179" s="113">
        <f>E191*[2]WA!J$352</f>
        <v>12364.747132334231</v>
      </c>
      <c r="K179" s="113">
        <f>F191*[2]WA!K$352</f>
        <v>987.23586756860493</v>
      </c>
      <c r="L179" s="114">
        <f>SUM(I179:K179)</f>
        <v>84308.861787781629</v>
      </c>
      <c r="M179" s="110"/>
      <c r="N179" s="112">
        <f t="shared" si="29"/>
        <v>70956.878787878784</v>
      </c>
      <c r="O179" s="113">
        <f t="shared" si="29"/>
        <v>12364.747132334231</v>
      </c>
      <c r="P179" s="113">
        <f t="shared" si="29"/>
        <v>987.23586756860493</v>
      </c>
      <c r="Q179" s="114">
        <f>SUM(N179:P179)</f>
        <v>84308.861787781629</v>
      </c>
      <c r="R179" s="115">
        <f>Q179/[2]Popn!$I$40*1000</f>
        <v>40.275368474452073</v>
      </c>
      <c r="T179" s="109"/>
      <c r="U179" s="110"/>
      <c r="V179" s="110"/>
      <c r="W179" s="199">
        <f>[2]WA!T93</f>
        <v>20800</v>
      </c>
      <c r="X179" s="198"/>
      <c r="Y179" s="198"/>
      <c r="Z179" s="198"/>
      <c r="AA179" s="276"/>
      <c r="AB179" s="113"/>
      <c r="AC179" s="113"/>
      <c r="AD179" s="113"/>
      <c r="AE179" s="113"/>
      <c r="AF179" s="117"/>
      <c r="AG179" s="112"/>
      <c r="AH179" s="113"/>
      <c r="AI179" s="113"/>
      <c r="AJ179" s="114">
        <f t="shared" ref="AJ179:AJ186" si="30">W179</f>
        <v>20800</v>
      </c>
      <c r="AK179" s="118">
        <f>AJ179/[2]Popn!$I$40*1000</f>
        <v>9.9364129286585854</v>
      </c>
      <c r="AL179" s="119"/>
      <c r="AM179" s="109"/>
      <c r="AN179" s="110"/>
      <c r="AO179" s="110"/>
      <c r="AP179" s="111"/>
      <c r="AQ179" s="116"/>
      <c r="AR179" s="113"/>
      <c r="AS179" s="113"/>
      <c r="AT179" s="113"/>
      <c r="AU179" s="120"/>
      <c r="AV179" s="113"/>
      <c r="AW179" s="114"/>
      <c r="AX179" s="110"/>
      <c r="AY179" s="237"/>
      <c r="BB179" s="113"/>
      <c r="BC179" s="121"/>
      <c r="BG179" s="144"/>
    </row>
    <row r="180" spans="1:80">
      <c r="A180" s="699"/>
      <c r="B180" s="23" t="s">
        <v>7</v>
      </c>
      <c r="C180" s="17" t="s">
        <v>9</v>
      </c>
      <c r="D180" s="57"/>
      <c r="E180" s="2"/>
      <c r="F180" s="2"/>
      <c r="G180" s="63"/>
      <c r="H180" s="2"/>
      <c r="I180" s="20"/>
      <c r="J180" s="21"/>
      <c r="K180" s="21"/>
      <c r="L180" s="22"/>
      <c r="M180" s="2"/>
      <c r="N180" s="20"/>
      <c r="O180" s="21"/>
      <c r="P180" s="21"/>
      <c r="Q180" s="22"/>
      <c r="R180" s="34"/>
      <c r="T180" s="57"/>
      <c r="U180" s="2"/>
      <c r="V180" s="2"/>
      <c r="W180" s="199">
        <f>[2]WA!T94</f>
        <v>1550</v>
      </c>
      <c r="X180" s="198"/>
      <c r="Y180" s="198"/>
      <c r="Z180" s="198"/>
      <c r="AA180" s="274"/>
      <c r="AB180" s="21"/>
      <c r="AC180" s="21"/>
      <c r="AD180" s="21"/>
      <c r="AE180" s="21"/>
      <c r="AF180" s="70"/>
      <c r="AG180" s="20"/>
      <c r="AH180" s="21"/>
      <c r="AI180" s="21"/>
      <c r="AJ180" s="22">
        <f t="shared" si="30"/>
        <v>1550</v>
      </c>
      <c r="AK180" s="29">
        <f>AJ180/[2]Popn!$I$40*1000</f>
        <v>0.74045384804907732</v>
      </c>
      <c r="AL180" s="19"/>
      <c r="AM180" s="57"/>
      <c r="AN180" s="2"/>
      <c r="AO180" s="2"/>
      <c r="AP180" s="63"/>
      <c r="AQ180" s="68"/>
      <c r="AR180" s="21"/>
      <c r="AS180" s="35"/>
      <c r="AT180" s="21"/>
      <c r="AU180" s="25"/>
      <c r="AV180" s="21"/>
      <c r="AW180" s="22"/>
      <c r="AX180" s="2"/>
      <c r="AY180" s="238"/>
      <c r="BB180" s="21"/>
      <c r="BC180" s="29"/>
      <c r="BU180" s="106"/>
      <c r="BV180" s="106"/>
      <c r="BW180" s="106"/>
      <c r="BX180" s="106"/>
      <c r="BY180" s="106"/>
      <c r="BZ180" s="106"/>
      <c r="CA180" s="106"/>
      <c r="CB180" s="106"/>
    </row>
    <row r="181" spans="1:80">
      <c r="A181" s="699"/>
      <c r="B181" s="23"/>
      <c r="C181" s="17" t="s">
        <v>10</v>
      </c>
      <c r="D181" s="57"/>
      <c r="E181" s="2"/>
      <c r="F181" s="2"/>
      <c r="G181" s="63"/>
      <c r="H181" s="2"/>
      <c r="I181" s="20"/>
      <c r="J181" s="21"/>
      <c r="K181" s="21"/>
      <c r="L181" s="22"/>
      <c r="M181" s="2"/>
      <c r="N181" s="20"/>
      <c r="O181" s="21"/>
      <c r="P181" s="21"/>
      <c r="Q181" s="22"/>
      <c r="R181" s="33"/>
      <c r="T181" s="57"/>
      <c r="U181" s="2"/>
      <c r="V181" s="2"/>
      <c r="W181" s="199">
        <f>[2]WA!T95</f>
        <v>5550</v>
      </c>
      <c r="X181" s="198"/>
      <c r="Y181" s="198"/>
      <c r="Z181" s="198"/>
      <c r="AA181" s="274"/>
      <c r="AB181" s="21"/>
      <c r="AC181" s="21"/>
      <c r="AD181" s="21"/>
      <c r="AE181" s="21"/>
      <c r="AF181" s="70"/>
      <c r="AG181" s="20"/>
      <c r="AH181" s="21"/>
      <c r="AI181" s="21"/>
      <c r="AJ181" s="22">
        <f t="shared" si="30"/>
        <v>5550</v>
      </c>
      <c r="AK181" s="29">
        <f>AJ181/[2]Popn!$I$40*1000</f>
        <v>2.6513024881757286</v>
      </c>
      <c r="AL181" s="19"/>
      <c r="AM181" s="57"/>
      <c r="AN181" s="2"/>
      <c r="AO181" s="2"/>
      <c r="AP181" s="63"/>
      <c r="AQ181" s="68"/>
      <c r="AR181" s="21"/>
      <c r="AS181" s="21"/>
      <c r="AT181" s="21"/>
      <c r="AU181" s="240"/>
      <c r="AV181" s="21"/>
      <c r="AW181" s="195"/>
      <c r="AX181" s="2"/>
      <c r="AY181" s="238"/>
      <c r="BB181" s="21"/>
      <c r="BC181" s="29"/>
    </row>
    <row r="182" spans="1:80" s="106" customFormat="1">
      <c r="A182" s="699"/>
      <c r="B182" s="107" t="s">
        <v>67</v>
      </c>
      <c r="C182" s="108"/>
      <c r="D182" s="109"/>
      <c r="E182" s="110"/>
      <c r="F182" s="110"/>
      <c r="G182" s="111"/>
      <c r="H182" s="110"/>
      <c r="I182" s="112">
        <f>D191*[2]WA!$F$386</f>
        <v>14191.375757575757</v>
      </c>
      <c r="J182" s="113">
        <f>E191*[2]WA!J$353</f>
        <v>49458.988529336923</v>
      </c>
      <c r="K182" s="113">
        <f>F191*[2]WA!K$353</f>
        <v>2468.0896689215119</v>
      </c>
      <c r="L182" s="114">
        <f>SUM(I182:K182)</f>
        <v>66118.453955834193</v>
      </c>
      <c r="M182" s="110"/>
      <c r="N182" s="112">
        <f>I182-AU182</f>
        <v>13037.790201666323</v>
      </c>
      <c r="O182" s="113">
        <f>J182-AV182</f>
        <v>45438.576713599061</v>
      </c>
      <c r="P182" s="113">
        <f>K182-AW182</f>
        <v>2267.4641170797699</v>
      </c>
      <c r="Q182" s="114">
        <f>SUM(N182:P182)</f>
        <v>60743.831032345151</v>
      </c>
      <c r="R182" s="115">
        <f>Q182/[2]Popn!$I$40*1000</f>
        <v>29.01806673105995</v>
      </c>
      <c r="T182" s="109"/>
      <c r="U182" s="110"/>
      <c r="V182" s="110"/>
      <c r="W182" s="203"/>
      <c r="X182" s="130"/>
      <c r="Y182" s="130"/>
      <c r="Z182" s="130"/>
      <c r="AA182" s="276"/>
      <c r="AB182" s="113"/>
      <c r="AC182" s="113"/>
      <c r="AD182" s="113"/>
      <c r="AE182" s="113"/>
      <c r="AF182" s="117"/>
      <c r="AG182" s="112"/>
      <c r="AH182" s="113"/>
      <c r="AI182" s="113"/>
      <c r="AJ182" s="114">
        <f>SUM(AJ180:AJ181)</f>
        <v>7100</v>
      </c>
      <c r="AK182" s="118">
        <f>SUM(AK180:AK181)</f>
        <v>3.3917563362248058</v>
      </c>
      <c r="AL182" s="119"/>
      <c r="AM182" s="109"/>
      <c r="AN182" s="110"/>
      <c r="AO182" s="110"/>
      <c r="AP182" s="111"/>
      <c r="AQ182" s="116"/>
      <c r="AR182" s="113">
        <f>L182*'[2]Lfill en &amp; composn'!$D$25</f>
        <v>10413.656498043885</v>
      </c>
      <c r="AS182" s="113">
        <f>AR182/SUM($AR$7:$AR$49)</f>
        <v>4.7104925026837163E-2</v>
      </c>
      <c r="AT182" s="113">
        <f>AS182*'[2]Lfill en &amp; composn'!$I$64/'[2]Lfill en &amp; composn'!$B$25</f>
        <v>5374.6229234890397</v>
      </c>
      <c r="AU182" s="120">
        <f>$AT182*I182/SUM($I182:$K182)</f>
        <v>1153.5855559094339</v>
      </c>
      <c r="AV182" s="113">
        <f>$AT182*J182/SUM($I182:$K182)</f>
        <v>4020.4118157378639</v>
      </c>
      <c r="AW182" s="114">
        <f>$AT182*K182/SUM($I182:$K182)</f>
        <v>200.62555184174181</v>
      </c>
      <c r="AX182" s="110"/>
      <c r="AY182" s="241">
        <f>AU182</f>
        <v>1153.5855559094339</v>
      </c>
      <c r="AZ182" s="242">
        <f>AV182</f>
        <v>4020.4118157378639</v>
      </c>
      <c r="BA182" s="242">
        <f>AW182</f>
        <v>200.62555184174181</v>
      </c>
      <c r="BB182" s="114">
        <f>AT182+AP182</f>
        <v>5374.6229234890397</v>
      </c>
      <c r="BC182" s="118">
        <f>BB182/[2]Popn!$I$40*1000</f>
        <v>2.5675227261356395</v>
      </c>
      <c r="BD182" s="122"/>
      <c r="BG182" s="144"/>
      <c r="BU182" s="6"/>
      <c r="BV182" s="6"/>
      <c r="BW182" s="6"/>
      <c r="BX182" s="6"/>
      <c r="BY182" s="6"/>
      <c r="BZ182" s="6"/>
      <c r="CA182" s="6"/>
      <c r="CB182" s="6"/>
    </row>
    <row r="183" spans="1:80">
      <c r="A183" s="699"/>
      <c r="B183" s="23" t="s">
        <v>11</v>
      </c>
      <c r="C183" s="17" t="s">
        <v>12</v>
      </c>
      <c r="D183" s="57"/>
      <c r="E183" s="2"/>
      <c r="F183" s="2"/>
      <c r="G183" s="63"/>
      <c r="H183" s="2"/>
      <c r="I183" s="20"/>
      <c r="J183" s="21"/>
      <c r="K183" s="21"/>
      <c r="L183" s="22"/>
      <c r="M183" s="729" t="s">
        <v>97</v>
      </c>
      <c r="N183" s="20"/>
      <c r="O183" s="21"/>
      <c r="P183" s="21"/>
      <c r="Q183" s="22"/>
      <c r="R183" s="33"/>
      <c r="T183" s="57"/>
      <c r="U183" s="2"/>
      <c r="V183" s="2"/>
      <c r="W183" s="199"/>
      <c r="X183" s="198"/>
      <c r="Y183" s="198"/>
      <c r="Z183" s="198"/>
      <c r="AA183" s="274"/>
      <c r="AB183" s="21"/>
      <c r="AC183" s="21"/>
      <c r="AD183" s="21"/>
      <c r="AE183" s="21"/>
      <c r="AF183" s="70"/>
      <c r="AG183" s="20"/>
      <c r="AH183" s="21"/>
      <c r="AI183" s="21"/>
      <c r="AJ183" s="22">
        <f t="shared" si="30"/>
        <v>0</v>
      </c>
      <c r="AK183" s="29"/>
      <c r="AL183" s="19"/>
      <c r="AM183" s="57"/>
      <c r="AN183" s="2"/>
      <c r="AO183" s="2"/>
      <c r="AP183" s="63"/>
      <c r="AQ183" s="68"/>
      <c r="AR183" s="21"/>
      <c r="AS183" s="21"/>
      <c r="AT183" s="21"/>
      <c r="AU183" s="25"/>
      <c r="AV183" s="21"/>
      <c r="AW183" s="22"/>
      <c r="AX183" s="2"/>
      <c r="AY183" s="23"/>
      <c r="AZ183" s="19"/>
      <c r="BA183" s="19"/>
      <c r="BB183" s="19"/>
      <c r="BC183" s="24"/>
      <c r="BU183" s="106"/>
      <c r="BV183" s="106"/>
      <c r="BW183" s="106"/>
      <c r="BX183" s="106"/>
      <c r="BY183" s="106"/>
      <c r="BZ183" s="106"/>
      <c r="CA183" s="106"/>
      <c r="CB183" s="106"/>
    </row>
    <row r="184" spans="1:80">
      <c r="A184" s="699"/>
      <c r="B184" s="23"/>
      <c r="C184" s="17" t="s">
        <v>13</v>
      </c>
      <c r="D184" s="57"/>
      <c r="E184" s="2"/>
      <c r="F184" s="2"/>
      <c r="G184" s="156"/>
      <c r="H184" s="3"/>
      <c r="I184" s="20"/>
      <c r="J184" s="21"/>
      <c r="K184" s="21"/>
      <c r="L184" s="22"/>
      <c r="M184" s="729"/>
      <c r="N184" s="20"/>
      <c r="O184" s="21"/>
      <c r="P184" s="21"/>
      <c r="Q184" s="22"/>
      <c r="R184" s="34"/>
      <c r="T184" s="57"/>
      <c r="U184" s="2"/>
      <c r="V184" s="2"/>
      <c r="W184" s="199"/>
      <c r="X184" s="198"/>
      <c r="Y184" s="198"/>
      <c r="Z184" s="198"/>
      <c r="AA184" s="282"/>
      <c r="AB184" s="21"/>
      <c r="AC184" s="21"/>
      <c r="AD184" s="21"/>
      <c r="AE184" s="21"/>
      <c r="AF184" s="70"/>
      <c r="AG184" s="20"/>
      <c r="AH184" s="21"/>
      <c r="AI184" s="21"/>
      <c r="AJ184" s="22">
        <f t="shared" si="30"/>
        <v>0</v>
      </c>
      <c r="AK184" s="29"/>
      <c r="AL184" s="19"/>
      <c r="AM184" s="57"/>
      <c r="AN184" s="2"/>
      <c r="AO184" s="2"/>
      <c r="AP184" s="64"/>
      <c r="AQ184" s="69"/>
      <c r="AR184" s="21"/>
      <c r="AS184" s="21"/>
      <c r="AT184" s="21"/>
      <c r="AU184" s="25"/>
      <c r="AV184" s="21"/>
      <c r="AW184" s="22"/>
      <c r="AX184" s="2"/>
      <c r="AY184" s="20"/>
      <c r="AZ184" s="21"/>
      <c r="BA184" s="21"/>
      <c r="BB184" s="21"/>
      <c r="BC184" s="24"/>
    </row>
    <row r="185" spans="1:80">
      <c r="A185" s="699"/>
      <c r="B185" s="23"/>
      <c r="C185" s="17" t="s">
        <v>14</v>
      </c>
      <c r="D185" s="57"/>
      <c r="E185" s="2"/>
      <c r="F185" s="2"/>
      <c r="G185" s="156"/>
      <c r="H185" s="3"/>
      <c r="I185" s="20"/>
      <c r="J185" s="21"/>
      <c r="K185" s="21"/>
      <c r="L185" s="22"/>
      <c r="M185" s="729"/>
      <c r="N185" s="20"/>
      <c r="O185" s="21"/>
      <c r="P185" s="21"/>
      <c r="Q185" s="22"/>
      <c r="R185" s="34"/>
      <c r="T185" s="57"/>
      <c r="U185" s="2"/>
      <c r="V185" s="2"/>
      <c r="W185" s="199"/>
      <c r="X185" s="198"/>
      <c r="Y185" s="198"/>
      <c r="Z185" s="198"/>
      <c r="AA185" s="282"/>
      <c r="AB185" s="21"/>
      <c r="AC185" s="21"/>
      <c r="AD185" s="21"/>
      <c r="AE185" s="21"/>
      <c r="AF185" s="70"/>
      <c r="AG185" s="20"/>
      <c r="AH185" s="21"/>
      <c r="AI185" s="21"/>
      <c r="AJ185" s="22">
        <f t="shared" si="30"/>
        <v>0</v>
      </c>
      <c r="AK185" s="29"/>
      <c r="AL185" s="19"/>
      <c r="AM185" s="57"/>
      <c r="AN185" s="2"/>
      <c r="AO185" s="2"/>
      <c r="AP185" s="64"/>
      <c r="AQ185" s="69"/>
      <c r="AR185" s="21"/>
      <c r="AS185" s="21"/>
      <c r="AT185" s="21"/>
      <c r="AU185" s="25"/>
      <c r="AV185" s="21"/>
      <c r="AW185" s="22"/>
      <c r="AX185" s="2"/>
      <c r="AY185" s="23"/>
      <c r="AZ185" s="19"/>
      <c r="BA185" s="19"/>
      <c r="BB185" s="21"/>
      <c r="BC185" s="24"/>
    </row>
    <row r="186" spans="1:80">
      <c r="A186" s="699"/>
      <c r="B186" s="23"/>
      <c r="C186" s="17" t="s">
        <v>15</v>
      </c>
      <c r="D186" s="57"/>
      <c r="E186" s="2"/>
      <c r="F186" s="2"/>
      <c r="G186" s="156"/>
      <c r="H186" s="3"/>
      <c r="I186" s="20"/>
      <c r="J186" s="21"/>
      <c r="K186" s="21"/>
      <c r="L186" s="22"/>
      <c r="M186" s="729"/>
      <c r="N186" s="20"/>
      <c r="O186" s="21"/>
      <c r="P186" s="21"/>
      <c r="Q186" s="22"/>
      <c r="R186" s="34"/>
      <c r="T186" s="57"/>
      <c r="U186" s="2"/>
      <c r="V186" s="2"/>
      <c r="W186" s="199"/>
      <c r="X186" s="198"/>
      <c r="Y186" s="198"/>
      <c r="Z186" s="198"/>
      <c r="AA186" s="282"/>
      <c r="AB186" s="21"/>
      <c r="AC186" s="21"/>
      <c r="AD186" s="21"/>
      <c r="AE186" s="21"/>
      <c r="AF186" s="70"/>
      <c r="AG186" s="20"/>
      <c r="AH186" s="21"/>
      <c r="AI186" s="21"/>
      <c r="AJ186" s="22">
        <f t="shared" si="30"/>
        <v>0</v>
      </c>
      <c r="AK186" s="29"/>
      <c r="AL186" s="19"/>
      <c r="AM186" s="57"/>
      <c r="AN186" s="2"/>
      <c r="AO186" s="2"/>
      <c r="AP186" s="64"/>
      <c r="AQ186" s="69"/>
      <c r="AR186" s="21"/>
      <c r="AS186" s="21"/>
      <c r="AT186" s="21"/>
      <c r="AU186" s="25"/>
      <c r="AV186" s="21"/>
      <c r="AW186" s="22"/>
      <c r="AX186" s="2"/>
      <c r="AY186" s="23"/>
      <c r="AZ186" s="19"/>
      <c r="BA186" s="19"/>
      <c r="BB186" s="21"/>
      <c r="BC186" s="24"/>
    </row>
    <row r="187" spans="1:80" s="106" customFormat="1">
      <c r="A187" s="699"/>
      <c r="B187" s="107" t="s">
        <v>67</v>
      </c>
      <c r="C187" s="108"/>
      <c r="D187" s="109"/>
      <c r="E187" s="110"/>
      <c r="F187" s="110"/>
      <c r="G187" s="124"/>
      <c r="H187" s="125"/>
      <c r="I187" s="112">
        <f>D191*[2]WA!$F$387</f>
        <v>0</v>
      </c>
      <c r="J187" s="113">
        <f>E191*[2]WA!J$354</f>
        <v>3709.4241397002693</v>
      </c>
      <c r="K187" s="113">
        <f>F191*[2]WA!K$354</f>
        <v>4936.1793378430239</v>
      </c>
      <c r="L187" s="114">
        <f>SUM(I187:K187)</f>
        <v>8645.6034775432927</v>
      </c>
      <c r="M187" s="110"/>
      <c r="N187" s="112">
        <f>I187-AU187</f>
        <v>0</v>
      </c>
      <c r="O187" s="113">
        <f>J187-AV187</f>
        <v>3709.4241397002693</v>
      </c>
      <c r="P187" s="113">
        <f>K187-AW187</f>
        <v>4936.1793378430239</v>
      </c>
      <c r="Q187" s="114">
        <f>SUM(N187:P187)</f>
        <v>8645.6034775432927</v>
      </c>
      <c r="R187" s="115">
        <f>Q187/[2]Popn!$I$40*1000</f>
        <v>4.1301099120344613</v>
      </c>
      <c r="T187" s="109"/>
      <c r="U187" s="110"/>
      <c r="V187" s="110"/>
      <c r="W187" s="203"/>
      <c r="X187" s="130"/>
      <c r="Y187" s="130"/>
      <c r="Z187" s="130"/>
      <c r="AA187" s="284"/>
      <c r="AB187" s="113"/>
      <c r="AC187" s="113"/>
      <c r="AD187" s="113"/>
      <c r="AE187" s="113"/>
      <c r="AF187" s="117"/>
      <c r="AG187" s="112"/>
      <c r="AH187" s="113"/>
      <c r="AI187" s="113"/>
      <c r="AJ187" s="114">
        <f>SUM(AJ183:AJ186)</f>
        <v>0</v>
      </c>
      <c r="AK187" s="118">
        <f>SUM(AK183:AK186)</f>
        <v>0</v>
      </c>
      <c r="AL187" s="119"/>
      <c r="AM187" s="109"/>
      <c r="AN187" s="110"/>
      <c r="AO187" s="110"/>
      <c r="AP187" s="124"/>
      <c r="AQ187" s="126"/>
      <c r="AR187" s="113"/>
      <c r="AS187" s="113"/>
      <c r="AT187" s="113"/>
      <c r="AU187" s="120"/>
      <c r="AV187" s="113"/>
      <c r="AW187" s="114"/>
      <c r="AX187" s="110"/>
      <c r="AY187" s="127"/>
      <c r="AZ187" s="119"/>
      <c r="BA187" s="119"/>
      <c r="BB187" s="113"/>
      <c r="BC187" s="121"/>
      <c r="BG187" s="144"/>
      <c r="BU187" s="6"/>
      <c r="BV187" s="6"/>
      <c r="BW187" s="6"/>
      <c r="BX187" s="6"/>
      <c r="BY187" s="6"/>
      <c r="BZ187" s="6"/>
      <c r="CA187" s="6"/>
      <c r="CB187" s="6"/>
    </row>
    <row r="188" spans="1:80" s="106" customFormat="1" ht="13.5" thickBot="1">
      <c r="A188" s="699"/>
      <c r="B188" s="131" t="s">
        <v>37</v>
      </c>
      <c r="C188" s="132" t="s">
        <v>1</v>
      </c>
      <c r="D188" s="109"/>
      <c r="E188" s="110"/>
      <c r="F188" s="110"/>
      <c r="G188" s="111"/>
      <c r="H188" s="130">
        <f>'[2]Fly ash'!$F$260</f>
        <v>349646.66014071577</v>
      </c>
      <c r="I188" s="112"/>
      <c r="J188" s="113"/>
      <c r="K188" s="113"/>
      <c r="L188" s="114"/>
      <c r="M188" s="110"/>
      <c r="N188" s="127"/>
      <c r="O188" s="119"/>
      <c r="P188" s="119"/>
      <c r="Q188" s="113">
        <f>H188</f>
        <v>349646.66014071577</v>
      </c>
      <c r="R188" s="115">
        <f>Q188/[2]Popn!$I$40*1000</f>
        <v>167.03046126367801</v>
      </c>
      <c r="T188" s="109"/>
      <c r="U188" s="110"/>
      <c r="V188" s="110"/>
      <c r="W188" s="199"/>
      <c r="X188" s="130"/>
      <c r="Y188" s="130"/>
      <c r="Z188" s="130"/>
      <c r="AA188" s="285">
        <f>'[2]Fly ash'!$F$252</f>
        <v>211302.59804221475</v>
      </c>
      <c r="AB188" s="113"/>
      <c r="AC188" s="113"/>
      <c r="AD188" s="113"/>
      <c r="AE188" s="113"/>
      <c r="AF188" s="117"/>
      <c r="AG188" s="112"/>
      <c r="AH188" s="113"/>
      <c r="AI188" s="113"/>
      <c r="AJ188" s="114">
        <f>AA188</f>
        <v>211302.59804221475</v>
      </c>
      <c r="AK188" s="115">
        <f>AJ188/[2]Popn!$I$40*1000</f>
        <v>100.94182053104861</v>
      </c>
      <c r="AL188" s="119"/>
      <c r="AM188" s="109"/>
      <c r="AN188" s="110"/>
      <c r="AO188" s="110"/>
      <c r="AP188" s="111"/>
      <c r="AQ188" s="117"/>
      <c r="AR188" s="113"/>
      <c r="AS188" s="113"/>
      <c r="AT188" s="113"/>
      <c r="AU188" s="120"/>
      <c r="AV188" s="113"/>
      <c r="AW188" s="114"/>
      <c r="AX188" s="110"/>
      <c r="AY188" s="127"/>
      <c r="AZ188" s="119"/>
      <c r="BA188" s="119"/>
      <c r="BB188" s="119"/>
      <c r="BC188" s="121"/>
      <c r="BG188" s="144"/>
    </row>
    <row r="189" spans="1:80" ht="13.5" thickBot="1">
      <c r="B189" s="19"/>
      <c r="C189" s="38"/>
      <c r="D189" s="57"/>
      <c r="E189" s="2"/>
      <c r="F189" s="2"/>
      <c r="G189" s="63"/>
      <c r="H189" s="2"/>
      <c r="I189" s="20"/>
      <c r="J189" s="21"/>
      <c r="K189" s="21"/>
      <c r="L189" s="22"/>
      <c r="M189" s="2"/>
      <c r="N189" s="23"/>
      <c r="O189" s="19"/>
      <c r="P189" s="19"/>
      <c r="Q189" s="19"/>
      <c r="R189" s="24"/>
      <c r="T189" s="57"/>
      <c r="U189" s="2"/>
      <c r="V189" s="2"/>
      <c r="W189" s="63"/>
      <c r="X189" s="2"/>
      <c r="Y189" s="2"/>
      <c r="Z189" s="2"/>
      <c r="AA189" s="274"/>
      <c r="AB189" s="21"/>
      <c r="AC189" s="21"/>
      <c r="AD189" s="21"/>
      <c r="AE189" s="21"/>
      <c r="AF189" s="70"/>
      <c r="AG189" s="20"/>
      <c r="AH189" s="21"/>
      <c r="AI189" s="21"/>
      <c r="AJ189" s="22"/>
      <c r="AK189" s="29"/>
      <c r="AL189" s="19"/>
      <c r="AM189" s="57"/>
      <c r="AN189" s="2"/>
      <c r="AO189" s="2"/>
      <c r="AP189" s="63"/>
      <c r="AQ189" s="68"/>
      <c r="AR189" s="21"/>
      <c r="AS189" s="21"/>
      <c r="AT189" s="21"/>
      <c r="AU189" s="25"/>
      <c r="AV189" s="21"/>
      <c r="AW189" s="22"/>
      <c r="AX189" s="2"/>
      <c r="AY189" s="23"/>
      <c r="AZ189" s="19"/>
      <c r="BA189" s="19"/>
      <c r="BB189" s="19"/>
      <c r="BC189" s="24"/>
      <c r="BU189" s="106"/>
      <c r="BV189" s="106"/>
      <c r="BW189" s="106"/>
      <c r="BX189" s="106"/>
      <c r="BY189" s="106"/>
      <c r="BZ189" s="106"/>
      <c r="CA189" s="106"/>
      <c r="CB189" s="106"/>
    </row>
    <row r="190" spans="1:80" ht="13.5" thickBot="1">
      <c r="C190" s="39" t="s">
        <v>38</v>
      </c>
      <c r="D190" s="58"/>
      <c r="E190" s="59"/>
      <c r="F190" s="2"/>
      <c r="G190" s="65"/>
      <c r="H190" s="2"/>
      <c r="I190" s="20"/>
      <c r="J190" s="21"/>
      <c r="K190" s="21"/>
      <c r="L190" s="22"/>
      <c r="M190" s="2"/>
      <c r="N190" s="23"/>
      <c r="O190" s="19"/>
      <c r="P190" s="19"/>
      <c r="Q190" s="19"/>
      <c r="R190" s="24"/>
      <c r="T190" s="58"/>
      <c r="U190" s="59"/>
      <c r="V190" s="2"/>
      <c r="W190" s="65"/>
      <c r="X190" s="198"/>
      <c r="Y190" s="198"/>
      <c r="Z190" s="198"/>
      <c r="AA190" s="274"/>
      <c r="AB190" s="21"/>
      <c r="AC190" s="21"/>
      <c r="AD190" s="21"/>
      <c r="AE190" s="21"/>
      <c r="AF190" s="70"/>
      <c r="AG190" s="20"/>
      <c r="AH190" s="21"/>
      <c r="AI190" s="21"/>
      <c r="AJ190" s="22"/>
      <c r="AK190" s="40"/>
      <c r="AL190" s="19"/>
      <c r="AM190" s="58"/>
      <c r="AN190" s="59"/>
      <c r="AO190" s="2"/>
      <c r="AP190" s="65"/>
      <c r="AQ190" s="68"/>
      <c r="AR190" s="21"/>
      <c r="AS190" s="21"/>
      <c r="AT190" s="21"/>
      <c r="AU190" s="25"/>
      <c r="AV190" s="21"/>
      <c r="AW190" s="22"/>
      <c r="AX190" s="2"/>
      <c r="AY190" s="23"/>
      <c r="AZ190" s="19"/>
      <c r="BA190" s="19"/>
      <c r="BB190" s="19"/>
      <c r="BC190" s="24"/>
    </row>
    <row r="191" spans="1:80" ht="13.5" thickBot="1">
      <c r="C191" s="135" t="s">
        <v>92</v>
      </c>
      <c r="D191" s="134">
        <f>[2]WA!L46</f>
        <v>1064353.1818181819</v>
      </c>
      <c r="E191" s="134">
        <f>[2]WA!M46</f>
        <v>1114063.7166233147</v>
      </c>
      <c r="F191" s="134">
        <f>[2]WA!N46</f>
        <v>1738769.1717552049</v>
      </c>
      <c r="G191" s="66"/>
      <c r="H191" s="231"/>
      <c r="I191" s="41">
        <f>SUM(I187,I182,I179,I178,I168,I163,I157,I153)</f>
        <v>1064353.1818181819</v>
      </c>
      <c r="J191" s="218">
        <f>SUM(J187,J182,J179,J178,J168,J163,J157,J153)</f>
        <v>1114063.716623314</v>
      </c>
      <c r="K191" s="218">
        <f>SUM(K187,K182,K179,K178,K168,K163,K157,K153)</f>
        <v>1738769.1717552054</v>
      </c>
      <c r="L191" s="42">
        <f>SUM(L187,L182,L179,L178,L168,L163,L157,L153)</f>
        <v>3917186.0701967012</v>
      </c>
      <c r="M191" s="43"/>
      <c r="N191" s="44">
        <f>SUM(N187,N182,N179,N178,N168,N163,N157,N153)</f>
        <v>971206.80552335456</v>
      </c>
      <c r="O191" s="45">
        <f>SUM(O187,O182,O179,O178,O168,O163,O157,O153)</f>
        <v>1018735.4751124758</v>
      </c>
      <c r="P191" s="45">
        <f>SUM(P187,P182,P179,P178,P168,P163,P157,P153)</f>
        <v>1728900.3860902039</v>
      </c>
      <c r="Q191" s="133">
        <f>SUM(Q187,Q182,Q179,Q178,Q168,Q163,Q157,Q153,Q190)</f>
        <v>3718842.6667260341</v>
      </c>
      <c r="R191" s="27">
        <f>SUM(R187,R182,R179,R178,R168,R163,R157,R153)</f>
        <v>1776.5363631396031</v>
      </c>
      <c r="T191" s="60"/>
      <c r="U191" s="706"/>
      <c r="V191" s="707"/>
      <c r="W191" s="66"/>
      <c r="X191" s="362"/>
      <c r="Y191" s="362"/>
      <c r="Z191" s="362"/>
      <c r="AA191" s="287"/>
      <c r="AB191" s="45"/>
      <c r="AC191" s="45"/>
      <c r="AD191" s="45"/>
      <c r="AE191" s="45"/>
      <c r="AF191" s="85"/>
      <c r="AG191" s="44">
        <f>$AJ191*[2]WA!J$114</f>
        <v>358193.51999999996</v>
      </c>
      <c r="AH191" s="45">
        <f>$AJ191*[2]WA!K$114</f>
        <v>776085.96000000008</v>
      </c>
      <c r="AI191" s="45">
        <f>$AJ191*[2]WA!L$114</f>
        <v>358193.51999999996</v>
      </c>
      <c r="AJ191" s="354">
        <f>SUM(AJ187,AJ182,AJ179,AJ178,AJ168,AJ163,AJ157,AJ153,AJ190)</f>
        <v>1492473</v>
      </c>
      <c r="AK191" s="27">
        <f>SUM(AK187,AK182,AK179,AK178,AK168,AK163,AK157,AK153,AK190)</f>
        <v>712.97250061893578</v>
      </c>
      <c r="AL191" s="19"/>
      <c r="AM191" s="60"/>
      <c r="AN191" s="706"/>
      <c r="AO191" s="707"/>
      <c r="AP191" s="66"/>
      <c r="AQ191" s="71"/>
      <c r="AR191" s="45">
        <f>SUM(AR148:AR190)</f>
        <v>226658.45086474865</v>
      </c>
      <c r="AS191" s="46">
        <f>SUM(AS148:AS190)</f>
        <v>1.0011606575251681</v>
      </c>
      <c r="AT191" s="45">
        <f>SUM(AT148:AT190)</f>
        <v>357201.23683458258</v>
      </c>
      <c r="AU191" s="47"/>
      <c r="AV191" s="45"/>
      <c r="AW191" s="214"/>
      <c r="AX191" s="43"/>
      <c r="AY191" s="44">
        <f>SUM(AY187,AY182,AY179,AY178,AY168,AY163,AY157,AY153)</f>
        <v>93146.376294827278</v>
      </c>
      <c r="AZ191" s="45">
        <f>SUM(AZ187,AZ182,AZ179,AZ178,AZ168,AZ163,AZ157,AZ153)</f>
        <v>95328.241510838241</v>
      </c>
      <c r="BA191" s="45">
        <f>SUM(BA187,BA182,BA179,BA178,BA168,BA163,BA157,BA153)</f>
        <v>9868.7856650013091</v>
      </c>
      <c r="BB191" s="354">
        <f>SUM(BB187,BB182,BB179,BB178,BB168,BB163,BB157,BB153,BB190)</f>
        <v>198343.40347066685</v>
      </c>
      <c r="BC191" s="27">
        <f>SUM(BC187,BC182,BC179,BC178,BC168,BC163,BC157,BC153,BC190)</f>
        <v>94.751055700003846</v>
      </c>
    </row>
    <row r="192" spans="1:80" ht="13.5" thickBot="1">
      <c r="C192" s="136" t="s">
        <v>65</v>
      </c>
      <c r="I192" s="52"/>
      <c r="Q192" s="49">
        <f>Q191+Q188</f>
        <v>4068489.3268667497</v>
      </c>
      <c r="R192" s="216">
        <f>R191+R188</f>
        <v>1943.5668244032811</v>
      </c>
      <c r="AJ192" s="353">
        <f>AJ191+AJ188</f>
        <v>1703775.5980422148</v>
      </c>
      <c r="AK192" s="216">
        <f>AK191+AK188</f>
        <v>813.9143211499844</v>
      </c>
      <c r="BB192" s="353">
        <f>BB191+BB188</f>
        <v>198343.40347066685</v>
      </c>
      <c r="BC192" s="216">
        <f>BC191+BC188</f>
        <v>94.751055700003846</v>
      </c>
    </row>
    <row r="194" spans="3:3">
      <c r="C194" s="89"/>
    </row>
  </sheetData>
  <mergeCells count="44">
    <mergeCell ref="BC5:BC6"/>
    <mergeCell ref="R5:R6"/>
    <mergeCell ref="B5:B6"/>
    <mergeCell ref="C5:C6"/>
    <mergeCell ref="D5:G5"/>
    <mergeCell ref="H5:H6"/>
    <mergeCell ref="I5:L5"/>
    <mergeCell ref="AY5:BB5"/>
    <mergeCell ref="N4:R4"/>
    <mergeCell ref="N5:Q5"/>
    <mergeCell ref="T5:W5"/>
    <mergeCell ref="AG5:AJ5"/>
    <mergeCell ref="AM5:AP5"/>
    <mergeCell ref="X5:AA5"/>
    <mergeCell ref="T4:AA4"/>
    <mergeCell ref="AK5:AK6"/>
    <mergeCell ref="BM54:BN54"/>
    <mergeCell ref="BH55:BK55"/>
    <mergeCell ref="AN97:AO97"/>
    <mergeCell ref="A101:A141"/>
    <mergeCell ref="BH101:BL101"/>
    <mergeCell ref="BM101:BN101"/>
    <mergeCell ref="BH102:BK102"/>
    <mergeCell ref="M89:M92"/>
    <mergeCell ref="M136:M139"/>
    <mergeCell ref="A7:A47"/>
    <mergeCell ref="BH7:BL7"/>
    <mergeCell ref="BM7:BN7"/>
    <mergeCell ref="BH8:BK8"/>
    <mergeCell ref="AN50:AO50"/>
    <mergeCell ref="M42:M45"/>
    <mergeCell ref="BM148:BN148"/>
    <mergeCell ref="BH149:BK149"/>
    <mergeCell ref="U191:V191"/>
    <mergeCell ref="AN191:AO191"/>
    <mergeCell ref="W158:W161"/>
    <mergeCell ref="AJ158:AJ161"/>
    <mergeCell ref="AK158:AK161"/>
    <mergeCell ref="M183:M186"/>
    <mergeCell ref="A148:A188"/>
    <mergeCell ref="BH148:BL148"/>
    <mergeCell ref="AN144:AO144"/>
    <mergeCell ref="A54:A94"/>
    <mergeCell ref="BH54:BL5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New Word Document" ma:contentTypeID="0x0101009FE383B1B63F78449CDA2294A0A95AB8" ma:contentTypeVersion="17" ma:contentTypeDescription="Create a new document." ma:contentTypeScope="" ma:versionID="b85183de214a67494dea8c4e5071e600">
  <xsd:schema xmlns:xsd="http://www.w3.org/2001/XMLSchema" xmlns:p="http://schemas.microsoft.com/office/2006/metadata/properties" xmlns:ns2="a3934a9c-4d1f-4be5-b4f5-15e24c61f397" xmlns:ns3="68634ea0-c470-4a73-a052-d03ca6a8cd88" xmlns:ns4="9c61834d-447e-4b40-85f3-412776ef6271" targetNamespace="http://schemas.microsoft.com/office/2006/metadata/properties" ma:root="true" ma:fieldsID="098441636e0a787863c48e470df4f460" ns2:_="" ns3:_="" ns4:_="">
    <xsd:import namespace="a3934a9c-4d1f-4be5-b4f5-15e24c61f397"/>
    <xsd:import namespace="68634ea0-c470-4a73-a052-d03ca6a8cd88"/>
    <xsd:import namespace="9c61834d-447e-4b40-85f3-412776ef6271"/>
    <xsd:element name="properties">
      <xsd:complexType>
        <xsd:sequence>
          <xsd:element name="documentManagement">
            <xsd:complexType>
              <xsd:all>
                <xsd:element ref="ns2:Description_x003a_" minOccurs="0"/>
                <xsd:element ref="ns3:Discipline_x003a_" minOccurs="0"/>
                <xsd:element ref="ns3:Type_x003a_" minOccurs="0"/>
                <xsd:element ref="ns4:Recipient_x003a_" minOccurs="0"/>
                <xsd:element ref="ns4:Companies_x003a_" minOccurs="0"/>
                <xsd:element ref="ns4:Other_x0020_companies_x003a_" minOccurs="0"/>
                <xsd:element ref="ns4:Sender_x003a_" minOccurs="0"/>
                <xsd:element ref="ns4:Date_x003a_" minOccurs="0"/>
                <xsd:element ref="ns4:Status_x003a_" minOccurs="0"/>
                <xsd:element ref="ns4:Reason_x003a_" minOccurs="0"/>
                <xsd:element ref="ns4:Delivery_x003a_" minOccurs="0"/>
              </xsd:all>
            </xsd:complexType>
          </xsd:element>
        </xsd:sequence>
      </xsd:complexType>
    </xsd:element>
  </xsd:schema>
  <xsd:schema xmlns:xsd="http://www.w3.org/2001/XMLSchema" xmlns:dms="http://schemas.microsoft.com/office/2006/documentManagement/types" targetNamespace="a3934a9c-4d1f-4be5-b4f5-15e24c61f397" elementFormDefault="qualified">
    <xsd:import namespace="http://schemas.microsoft.com/office/2006/documentManagement/types"/>
    <xsd:element name="Description_x003a_" ma:index="8" nillable="true" ma:displayName="Description:" ma:description="Title, subject, contents or keywords" ma:internalName="Description_x003a_">
      <xsd:simpleType>
        <xsd:restriction base="dms:Text">
          <xsd:maxLength value="255"/>
        </xsd:restriction>
      </xsd:simpleType>
    </xsd:element>
  </xsd:schema>
  <xsd:schema xmlns:xsd="http://www.w3.org/2001/XMLSchema" xmlns:dms="http://schemas.microsoft.com/office/2006/documentManagement/types" targetNamespace="68634ea0-c470-4a73-a052-d03ca6a8cd88" elementFormDefault="qualified">
    <xsd:import namespace="http://schemas.microsoft.com/office/2006/documentManagement/types"/>
    <xsd:element name="Discipline_x003a_" ma:index="9" nillable="true" ma:displayName="Discipline:" ma:default="(none)" ma:format="Dropdown" ma:internalName="Discipline_x003a_">
      <xsd:simpleType>
        <xsd:restriction base="dms:Choice">
          <xsd:enumeration value="(none)"/>
          <xsd:enumeration value="Acoustics"/>
          <xsd:enumeration value="Advisory"/>
          <xsd:enumeration value="All"/>
          <xsd:enumeration value="BIT"/>
          <xsd:enumeration value="Bridges"/>
          <xsd:enumeration value="Building Structures"/>
          <xsd:enumeration value="Civil"/>
          <xsd:enumeration value="Clean Water"/>
          <xsd:enumeration value="Drainage"/>
          <xsd:enumeration value="Environment"/>
          <xsd:enumeration value="Facades"/>
          <xsd:enumeration value="Geotech"/>
          <xsd:enumeration value="GIS"/>
          <xsd:enumeration value="Highways"/>
          <xsd:enumeration value="IT"/>
          <xsd:enumeration value="Land Development"/>
          <xsd:enumeration value="Project Management"/>
          <xsd:enumeration value="Rail"/>
          <xsd:enumeration value="Sewage Treatment"/>
          <xsd:enumeration value="Sewerage"/>
          <xsd:enumeration value="Technology"/>
          <xsd:enumeration value="TLE"/>
          <xsd:enumeration value="Traffic"/>
          <xsd:enumeration value="Transport"/>
          <xsd:enumeration value="Tunnels"/>
          <xsd:enumeration value="Utilities"/>
        </xsd:restriction>
      </xsd:simpleType>
    </xsd:element>
    <xsd:element name="Type_x003a_" ma:index="10" nillable="true" ma:displayName="Type:" ma:default="(none)" ma:format="Dropdown" ma:internalName="Type_x003a_">
      <xsd:simpleType>
        <xsd:restriction base="dms:Choice">
          <xsd:enumeration value="(none)"/>
          <xsd:enumeration value="Agenda"/>
          <xsd:enumeration value="Agreement"/>
          <xsd:enumeration value="BOQ"/>
          <xsd:enumeration value="CAD"/>
          <xsd:enumeration value="Contract"/>
          <xsd:enumeration value="Deed"/>
          <xsd:enumeration value="Design"/>
          <xsd:enumeration value="Drawing"/>
          <xsd:enumeration value="Email"/>
          <xsd:enumeration value="Estimate"/>
          <xsd:enumeration value="Fax"/>
          <xsd:enumeration value="Information"/>
          <xsd:enumeration value="Invoice"/>
          <xsd:enumeration value="Letter"/>
          <xsd:enumeration value="Memo"/>
          <xsd:enumeration value="Minutes"/>
          <xsd:enumeration value="Other"/>
          <xsd:enumeration value="Programme"/>
          <xsd:enumeration value="Progress Claim"/>
          <xsd:enumeration value="QA"/>
          <xsd:enumeration value="RFI"/>
          <xsd:enumeration value="Schedule"/>
          <xsd:enumeration value="Site Diary"/>
          <xsd:enumeration value="Sketch"/>
          <xsd:enumeration value="Specification"/>
          <xsd:enumeration value="Submission"/>
          <xsd:enumeration value="Tender"/>
          <xsd:enumeration value="Xref"/>
        </xsd:restriction>
      </xsd:simpleType>
    </xsd:element>
  </xsd:schema>
  <xsd:schema xmlns:xsd="http://www.w3.org/2001/XMLSchema" xmlns:dms="http://schemas.microsoft.com/office/2006/documentManagement/types" targetNamespace="9c61834d-447e-4b40-85f3-412776ef6271" elementFormDefault="qualified">
    <xsd:import namespace="http://schemas.microsoft.com/office/2006/documentManagement/types"/>
    <xsd:element name="Recipient_x003a_" ma:index="11" nillable="true" ma:displayName="Recipient:" ma:internalName="Recipient_x003a_">
      <xsd:simpleType>
        <xsd:restriction base="dms:Text">
          <xsd:maxLength value="255"/>
        </xsd:restriction>
      </xsd:simpleType>
    </xsd:element>
    <xsd:element name="Companies_x003a_" ma:index="12" nillable="true" ma:displayName="Companies:" ma:list="{A3856036-CD36-44CB-ACDB-276759BDDC76}" ma:internalName="Companies_x003a_" ma:showField="Title">
      <xsd:simpleType>
        <xsd:restriction base="dms:Lookup"/>
      </xsd:simpleType>
    </xsd:element>
    <xsd:element name="Other_x0020_companies_x003a_" ma:index="13" nillable="true" ma:displayName="Other companies:" ma:description="One-off, not in Companies lookup" ma:internalName="Other_x0020_companies_x003a_">
      <xsd:simpleType>
        <xsd:restriction base="dms:Text">
          <xsd:maxLength value="255"/>
        </xsd:restriction>
      </xsd:simpleType>
    </xsd:element>
    <xsd:element name="Sender_x003a_" ma:index="14" nillable="true" ma:displayName="Sender:" ma:list="UserInfo" ma:internalName="Sender_x003a_"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ate_x003a_" ma:index="15" nillable="true" ma:displayName="Date:" ma:default="[today]" ma:format="DateTime" ma:internalName="Date_x003a_">
      <xsd:simpleType>
        <xsd:restriction base="dms:DateTime"/>
      </xsd:simpleType>
    </xsd:element>
    <xsd:element name="Status_x003a_" ma:index="16" nillable="true" ma:displayName="Status:" ma:list="{211DD655-B506-42C7-9E00-463EBA5B0553}" ma:internalName="Status_x003a_" ma:showField="Title">
      <xsd:simpleType>
        <xsd:restriction base="dms:Lookup"/>
      </xsd:simpleType>
    </xsd:element>
    <xsd:element name="Reason_x003a_" ma:index="17" nillable="true" ma:displayName="Reason:" ma:list="{BF67E623-4090-4146-81E4-C09ED8A44A8A}" ma:internalName="Reason_x003a_" ma:showField="Title">
      <xsd:simpleType>
        <xsd:restriction base="dms:Lookup"/>
      </xsd:simpleType>
    </xsd:element>
    <xsd:element name="Delivery_x003a_" ma:index="18" nillable="true" ma:displayName="Delivery:" ma:list="{C0F58206-2BAD-4D52-A309-A54782799F97}" ma:internalName="Delivery_x003a_"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Doc Typ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ate_x003a_ xmlns="9c61834d-447e-4b40-85f3-412776ef6271">2012-05-17T02:24:44+00:00</Date_x003a_>
    <Description_x003a_ xmlns="a3934a9c-4d1f-4be5-b4f5-15e24c61f397" xsi:nil="true"/>
    <Delivery_x003a_ xmlns="9c61834d-447e-4b40-85f3-412776ef6271" xsi:nil="true"/>
    <Type_x003a_ xmlns="68634ea0-c470-4a73-a052-d03ca6a8cd88">(none)</Type_x003a_>
    <Discipline_x003a_ xmlns="68634ea0-c470-4a73-a052-d03ca6a8cd88">(none)</Discipline_x003a_>
    <Recipient_x003a_ xmlns="9c61834d-447e-4b40-85f3-412776ef6271" xsi:nil="true"/>
    <Other_x0020_companies_x003a_ xmlns="9c61834d-447e-4b40-85f3-412776ef6271" xsi:nil="true"/>
    <Sender_x003a_ xmlns="9c61834d-447e-4b40-85f3-412776ef6271">
      <UserInfo>
        <DisplayName/>
        <AccountId xsi:nil="true"/>
        <AccountType/>
      </UserInfo>
    </Sender_x003a_>
    <Reason_x003a_ xmlns="9c61834d-447e-4b40-85f3-412776ef6271" xsi:nil="true"/>
    <Companies_x003a_ xmlns="9c61834d-447e-4b40-85f3-412776ef6271" xsi:nil="true"/>
    <Status_x003a_ xmlns="9c61834d-447e-4b40-85f3-412776ef6271" xsi:nil="true"/>
  </documentManagement>
</p:properties>
</file>

<file path=customXml/itemProps1.xml><?xml version="1.0" encoding="utf-8"?>
<ds:datastoreItem xmlns:ds="http://schemas.openxmlformats.org/officeDocument/2006/customXml" ds:itemID="{2B8759A3-67BA-4795-80AA-6041A3153F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934a9c-4d1f-4be5-b4f5-15e24c61f397"/>
    <ds:schemaRef ds:uri="68634ea0-c470-4a73-a052-d03ca6a8cd88"/>
    <ds:schemaRef ds:uri="9c61834d-447e-4b40-85f3-412776ef6271"/>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E4BD189-48D4-451E-A1EE-82A394D89CF9}">
  <ds:schemaRefs>
    <ds:schemaRef ds:uri="http://schemas.microsoft.com/sharepoint/v3/contenttype/forms"/>
  </ds:schemaRefs>
</ds:datastoreItem>
</file>

<file path=customXml/itemProps3.xml><?xml version="1.0" encoding="utf-8"?>
<ds:datastoreItem xmlns:ds="http://schemas.openxmlformats.org/officeDocument/2006/customXml" ds:itemID="{8458B0DE-ABEF-4566-879B-394AB50C7F8D}">
  <ds:schemaRefs>
    <ds:schemaRef ds:uri="http://purl.org/dc/elements/1.1/"/>
    <ds:schemaRef ds:uri="http://purl.org/dc/dcmitype/"/>
    <ds:schemaRef ds:uri="http://schemas.microsoft.com/office/2006/documentManagement/types"/>
    <ds:schemaRef ds:uri="http://purl.org/dc/terms/"/>
    <ds:schemaRef ds:uri="a3934a9c-4d1f-4be5-b4f5-15e24c61f397"/>
    <ds:schemaRef ds:uri="http://www.w3.org/XML/1998/namespace"/>
    <ds:schemaRef ds:uri="http://schemas.microsoft.com/office/2006/metadata/properties"/>
    <ds:schemaRef ds:uri="http://schemas.openxmlformats.org/package/2006/metadata/core-properties"/>
    <ds:schemaRef ds:uri="9c61834d-447e-4b40-85f3-412776ef6271"/>
    <ds:schemaRef ds:uri="68634ea0-c470-4a73-a052-d03ca6a8cd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INTRO</vt:lpstr>
      <vt:lpstr>ACT</vt:lpstr>
      <vt:lpstr>NSW</vt:lpstr>
      <vt:lpstr>NT</vt:lpstr>
      <vt:lpstr>Qld</vt:lpstr>
      <vt:lpstr>SA</vt:lpstr>
      <vt:lpstr>Tas</vt:lpstr>
      <vt:lpstr>Vic</vt:lpstr>
      <vt:lpstr>WA</vt:lpstr>
      <vt:lpstr>Australia</vt:lpstr>
      <vt:lpstr>Australian context</vt:lpstr>
      <vt:lpstr>Australia!_Toc341873739</vt:lpstr>
      <vt:lpstr>Australia!_Toc341873740</vt:lpstr>
      <vt:lpstr>Australia!_Toc341873741</vt:lpstr>
      <vt:lpstr>SA!Print_Area</vt:lpstr>
      <vt:lpstr>Vic!Print_Area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dcterms:created xsi:type="dcterms:W3CDTF">2012-05-11T01:39:52Z</dcterms:created>
  <dcterms:modified xsi:type="dcterms:W3CDTF">2014-02-06T05:17:01Z</dcterms:modified>
</cp:coreProperties>
</file>